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Arkusz1" sheetId="1" r:id="rId1"/>
  </sheets>
  <definedNames>
    <definedName name="_xlnm.Print_Area" localSheetId="0">'Arkusz1'!$A$1:$P$371</definedName>
  </definedNames>
  <calcPr fullCalcOnLoad="1"/>
</workbook>
</file>

<file path=xl/sharedStrings.xml><?xml version="1.0" encoding="utf-8"?>
<sst xmlns="http://schemas.openxmlformats.org/spreadsheetml/2006/main" count="429" uniqueCount="372">
  <si>
    <t>Lp</t>
  </si>
  <si>
    <t>Szopena 8</t>
  </si>
  <si>
    <t>Szopena 15fr.</t>
  </si>
  <si>
    <t>Szopena 17</t>
  </si>
  <si>
    <t>1 Maja 84 fr.</t>
  </si>
  <si>
    <t>1 Maja 84 of.</t>
  </si>
  <si>
    <t xml:space="preserve">1 Maja 70 </t>
  </si>
  <si>
    <t>1 Maja 72</t>
  </si>
  <si>
    <t>1 Maja 74</t>
  </si>
  <si>
    <t>1 Maja 94</t>
  </si>
  <si>
    <t>1 Maja 104 fr.</t>
  </si>
  <si>
    <t>1 Maja 104 of.</t>
  </si>
  <si>
    <t>Waryńskiego 44</t>
  </si>
  <si>
    <t>Waryńskiego 48 fr.</t>
  </si>
  <si>
    <t>Waryńskiego 48 of.</t>
  </si>
  <si>
    <t>Waryńskiego 50</t>
  </si>
  <si>
    <t>Bankowa 5</t>
  </si>
  <si>
    <t>Farbiarska 1</t>
  </si>
  <si>
    <t>Farbiarska 8</t>
  </si>
  <si>
    <t>Jasna 2</t>
  </si>
  <si>
    <t>Jasna 7</t>
  </si>
  <si>
    <t>Kilińskiego 20 fr.</t>
  </si>
  <si>
    <t>Kilińskiego 20 of.</t>
  </si>
  <si>
    <t>Kilińskiego 22</t>
  </si>
  <si>
    <t>Kilińskiego 39</t>
  </si>
  <si>
    <t>Kilińskiego 42</t>
  </si>
  <si>
    <t>Kilińskiego 48</t>
  </si>
  <si>
    <t>Kamienna 8</t>
  </si>
  <si>
    <t>Kamienna 9</t>
  </si>
  <si>
    <t>Wyspiańskiego 5 of.</t>
  </si>
  <si>
    <t>11 Listopada 26</t>
  </si>
  <si>
    <t>11 Listopada 32</t>
  </si>
  <si>
    <t>Orlika 64</t>
  </si>
  <si>
    <t>Miodowa 10 fr.</t>
  </si>
  <si>
    <t>Miodowa 10 of.</t>
  </si>
  <si>
    <t>Młyńska 4a</t>
  </si>
  <si>
    <t>Piękna 25</t>
  </si>
  <si>
    <t>Leszno 23</t>
  </si>
  <si>
    <t>Leszno 42</t>
  </si>
  <si>
    <t>Leszno 44</t>
  </si>
  <si>
    <t>Leszno 46</t>
  </si>
  <si>
    <t>Leszno 48</t>
  </si>
  <si>
    <t>Leszno 50</t>
  </si>
  <si>
    <t>Leszno 52</t>
  </si>
  <si>
    <t>Leg.Polskich 17</t>
  </si>
  <si>
    <t>Leg.Polskich 20</t>
  </si>
  <si>
    <t>Leg.Polskich 27fr.</t>
  </si>
  <si>
    <t>Leg.Polskich 27of.</t>
  </si>
  <si>
    <t>Leg.Polskich 55</t>
  </si>
  <si>
    <t>1 Maja 86</t>
  </si>
  <si>
    <t>Narutowicza 42</t>
  </si>
  <si>
    <t>Żeromskiego 3</t>
  </si>
  <si>
    <t>Żeromskiego 8</t>
  </si>
  <si>
    <t>Szopena 2</t>
  </si>
  <si>
    <t>Kanałowa 2</t>
  </si>
  <si>
    <t>Kanałowa 4</t>
  </si>
  <si>
    <t>Spokojna 28</t>
  </si>
  <si>
    <t>Spokojna 32</t>
  </si>
  <si>
    <t>Jaktorowska 4</t>
  </si>
  <si>
    <t>Mickiewicza 17</t>
  </si>
  <si>
    <t>Mireckiego 3</t>
  </si>
  <si>
    <t>Mireckiego 53</t>
  </si>
  <si>
    <t>Moniuszki 27</t>
  </si>
  <si>
    <t>Słowackiego 12</t>
  </si>
  <si>
    <t>Słowackiego 12of.</t>
  </si>
  <si>
    <t>Słowackiego 18</t>
  </si>
  <si>
    <t>Wysockiego 4</t>
  </si>
  <si>
    <t>Wysockiego 22</t>
  </si>
  <si>
    <t>Wysockiego 34</t>
  </si>
  <si>
    <t>Sienkiewicza 2</t>
  </si>
  <si>
    <t>Łukasińskiego 19</t>
  </si>
  <si>
    <t>Dekerta 18</t>
  </si>
  <si>
    <t>Narutowicza 21</t>
  </si>
  <si>
    <t>Sienkiewicza 2 of.</t>
  </si>
  <si>
    <t>Mielczarskiego 5</t>
  </si>
  <si>
    <t>Mielczarskiego 9</t>
  </si>
  <si>
    <t>Okrzei 5</t>
  </si>
  <si>
    <t>1 Maja 10</t>
  </si>
  <si>
    <t>Szulmana 20</t>
  </si>
  <si>
    <t>Mielczarskiego 7</t>
  </si>
  <si>
    <t>Limanowskiego 15</t>
  </si>
  <si>
    <t>Limanowskiego 18</t>
  </si>
  <si>
    <t>Limanowskiego 25</t>
  </si>
  <si>
    <t>Limanowskiego 27</t>
  </si>
  <si>
    <t>1 Maja 31 fr.</t>
  </si>
  <si>
    <t>1 Maja 31 of.</t>
  </si>
  <si>
    <t>1 Maja 52</t>
  </si>
  <si>
    <t>1 Maja 66</t>
  </si>
  <si>
    <t>Waryńskiego 25</t>
  </si>
  <si>
    <t>Waryńskiego 26</t>
  </si>
  <si>
    <t>Armii Krajowej 10</t>
  </si>
  <si>
    <t>1 Maja 50</t>
  </si>
  <si>
    <t>Ciasna 4 m 4</t>
  </si>
  <si>
    <t xml:space="preserve">1 Maja 20 </t>
  </si>
  <si>
    <t>1 Maja 22</t>
  </si>
  <si>
    <t>Sienkiewicza 6</t>
  </si>
  <si>
    <t>Ar. Krajowej 3</t>
  </si>
  <si>
    <t>Mickiewicza 19 a</t>
  </si>
  <si>
    <t>POW 4 of.</t>
  </si>
  <si>
    <t>Kilińskiego 11</t>
  </si>
  <si>
    <t>Izy Zielińskiej 4</t>
  </si>
  <si>
    <t>Leg.Polskich 29</t>
  </si>
  <si>
    <t>RAZEM</t>
  </si>
  <si>
    <t>OGÓŁEM</t>
  </si>
  <si>
    <t>Okrzei 47 fr.</t>
  </si>
  <si>
    <t>PR.Wyszyńskiego 12</t>
  </si>
  <si>
    <t>Szopena 15 of</t>
  </si>
  <si>
    <t>Ogółem</t>
  </si>
  <si>
    <t>Jana Pawła II 2</t>
  </si>
  <si>
    <t>Jasna 9b</t>
  </si>
  <si>
    <t xml:space="preserve">II BUDYNKI MIESZKALNE ( BEZ WSPÓLNOT MIESZKANIOWYCH) WYKWATEROWANE </t>
  </si>
  <si>
    <t>Szopena 13fr</t>
  </si>
  <si>
    <t>1 Maja 84 C</t>
  </si>
  <si>
    <t xml:space="preserve"> WYKAZ BUDYNKÓW STANOWIĄCYCH WŁASNOŚĆ LUB WSPÓŁWŁASNOŚĆ GMINY</t>
  </si>
  <si>
    <t xml:space="preserve">         I  BUDYNKI MIESZKALNE (BEZ WSPÓLNOT MIESZKANIOWYCH) ZAMIESZKAŁE</t>
  </si>
  <si>
    <t>Adres</t>
  </si>
  <si>
    <t>III   BUDYNKI UŻYTKOWE WOLNOSTOJĄCE</t>
  </si>
  <si>
    <t>Wysockiego 22 - do kapitalnego remontu</t>
  </si>
  <si>
    <t>Razem</t>
  </si>
  <si>
    <t>Liczba budynków</t>
  </si>
  <si>
    <t xml:space="preserve">Liczba </t>
  </si>
  <si>
    <t>Razem liczba lokali</t>
  </si>
  <si>
    <t>lokale mieszkalne</t>
  </si>
  <si>
    <t>lokale użytkowe</t>
  </si>
  <si>
    <t>Liczba lokali użytkowych</t>
  </si>
  <si>
    <t>Wyspiańskiego 5 fr.</t>
  </si>
  <si>
    <t>1 Maja 33A</t>
  </si>
  <si>
    <t>1 Maja 38 of.</t>
  </si>
  <si>
    <t>1 Maja 48</t>
  </si>
  <si>
    <t>1 Maja 24</t>
  </si>
  <si>
    <t>Leszno 25</t>
  </si>
  <si>
    <t>Sienkiewicza 10 /2-kond./</t>
  </si>
  <si>
    <t>Sienkiewicza 10 /3-kond/</t>
  </si>
  <si>
    <t>Kilińskiego 44</t>
  </si>
  <si>
    <t>Jasna 5</t>
  </si>
  <si>
    <t>Jasna 1</t>
  </si>
  <si>
    <t xml:space="preserve">                 -</t>
  </si>
  <si>
    <r>
      <t>Powierzchnia użytkowa                        [m</t>
    </r>
    <r>
      <rPr>
        <b/>
        <sz val="10"/>
        <rFont val="Arial"/>
        <family val="2"/>
      </rPr>
      <t>²</t>
    </r>
    <r>
      <rPr>
        <b/>
        <sz val="10"/>
        <rFont val="Times New Roman"/>
        <family val="1"/>
      </rPr>
      <t>]</t>
    </r>
  </si>
  <si>
    <r>
      <t>Razem powierzchnia użytkowa lokali                   [m</t>
    </r>
    <r>
      <rPr>
        <b/>
        <sz val="10"/>
        <rFont val="Arial"/>
        <family val="2"/>
      </rPr>
      <t>²</t>
    </r>
    <r>
      <rPr>
        <b/>
        <sz val="10"/>
        <rFont val="Times New Roman"/>
        <family val="1"/>
      </rPr>
      <t>]</t>
    </r>
  </si>
  <si>
    <t>Mostowa 13</t>
  </si>
  <si>
    <t>Waryńskiego 1</t>
  </si>
  <si>
    <t>Sławińskiego 6 - warsztat</t>
  </si>
  <si>
    <t>Sławińskiego 6 - garaż</t>
  </si>
  <si>
    <t>Legionów Polskich 25</t>
  </si>
  <si>
    <t>Waryńskiego 42</t>
  </si>
  <si>
    <t>Mickiewicza 19 b</t>
  </si>
  <si>
    <t>Gen. Józefa Hallera 22</t>
  </si>
  <si>
    <t>Żeromskiego 13 bud 1</t>
  </si>
  <si>
    <t>Żeromskiego 13 bud 2</t>
  </si>
  <si>
    <t>Żeromskiego 13 bud 3</t>
  </si>
  <si>
    <t>Piaskowa 21</t>
  </si>
  <si>
    <t>piwnice pow.</t>
  </si>
  <si>
    <t>administrowanie udziałem w nieruchomości, której właścicielem jest inny podmiot</t>
  </si>
  <si>
    <t>Mostowa 1</t>
  </si>
  <si>
    <t>stan na  dzień  31.10.2022 r.</t>
  </si>
  <si>
    <t xml:space="preserve">  BUDYNKI W POSIADANIU MIASTA ŻYRARDÓW</t>
  </si>
  <si>
    <t>WG STANU NA DN. 31.10.2022 r.</t>
  </si>
  <si>
    <t>Lp.</t>
  </si>
  <si>
    <r>
      <t>Powierzchnia użytkowa lokali [m</t>
    </r>
    <r>
      <rPr>
        <b/>
        <sz val="10"/>
        <rFont val="Arial"/>
        <family val="2"/>
      </rPr>
      <t>²]</t>
    </r>
  </si>
  <si>
    <r>
      <t>Ogółem powierzchnia użytkowa lokali [m</t>
    </r>
    <r>
      <rPr>
        <b/>
        <sz val="10"/>
        <rFont val="Arial"/>
        <family val="2"/>
      </rPr>
      <t>²</t>
    </r>
    <r>
      <rPr>
        <b/>
        <sz val="10"/>
        <rFont val="Times New Roman"/>
        <family val="1"/>
      </rPr>
      <t>]</t>
    </r>
  </si>
  <si>
    <t>Liczba lokali</t>
  </si>
  <si>
    <t>Liczba lokali ogółem</t>
  </si>
  <si>
    <t>mieszkalnych</t>
  </si>
  <si>
    <t>użytkowych</t>
  </si>
  <si>
    <t>Ciasna 4a</t>
  </si>
  <si>
    <t>1 Maja 114</t>
  </si>
  <si>
    <t>1 Maja 116</t>
  </si>
  <si>
    <t>1 Maja 118</t>
  </si>
  <si>
    <t>1 Maja 18 /wykwaterowany/</t>
  </si>
  <si>
    <t>11 Listopada 30</t>
  </si>
  <si>
    <t>H.hr.Łubieńskiego 8</t>
  </si>
  <si>
    <t>Cehaka 17 /wykwaterowany/</t>
  </si>
  <si>
    <t>Kościuszki 25</t>
  </si>
  <si>
    <t>Leszno 21</t>
  </si>
  <si>
    <t>Łukasińskiego 24</t>
  </si>
  <si>
    <t>Mireckiego 42</t>
  </si>
  <si>
    <t>Mireckiego 99</t>
  </si>
  <si>
    <t>Mostowa 7</t>
  </si>
  <si>
    <t>Narutowicza 23 /a,b/</t>
  </si>
  <si>
    <t>Ossowskiego 12</t>
  </si>
  <si>
    <t>Sienkiewicza 11 fr.</t>
  </si>
  <si>
    <t>Sienkiewicza 11 of.</t>
  </si>
  <si>
    <t>Sienkiewicza 16</t>
  </si>
  <si>
    <t>Strzelecka 10  /wykwaterowany/</t>
  </si>
  <si>
    <t>Strzelecka 12</t>
  </si>
  <si>
    <t>Strzelecka 8</t>
  </si>
  <si>
    <t>Szopena 16</t>
  </si>
  <si>
    <t>Waryńskiego 46 of.</t>
  </si>
  <si>
    <t>Waryńskiego 46fr.</t>
  </si>
  <si>
    <t>Żabia 3fr.</t>
  </si>
  <si>
    <t>Żabia 3of.</t>
  </si>
  <si>
    <t>WSPÓLNOTY MIESZKANIOWE ZARZĄDZANE PRZEZ OBCYCH ZARZĄDCÓW</t>
  </si>
  <si>
    <t>Powierzchnia lokali mieszkalnych</t>
  </si>
  <si>
    <t>Powierzchnia lokali użytkowych</t>
  </si>
  <si>
    <t>Razem powierzchnia lokali Gminy [m²]</t>
  </si>
  <si>
    <t>Liczba lokali mieszkalnych</t>
  </si>
  <si>
    <t>Razem lokale mieszkalne</t>
  </si>
  <si>
    <t>Razem lokale użytkowe</t>
  </si>
  <si>
    <t>Gminy</t>
  </si>
  <si>
    <t>wykupionych</t>
  </si>
  <si>
    <t>1 Maja 57</t>
  </si>
  <si>
    <t>1 Maja 59</t>
  </si>
  <si>
    <t>Armii Krajowej 4</t>
  </si>
  <si>
    <t>Armi Krajowej 12</t>
  </si>
  <si>
    <t>Hallera 2</t>
  </si>
  <si>
    <t>Kościelna 5</t>
  </si>
  <si>
    <t>Kościelna 13</t>
  </si>
  <si>
    <t>Kościuszki 39</t>
  </si>
  <si>
    <t>Kościuszki 41</t>
  </si>
  <si>
    <t>Ks. Ściegiennego 3</t>
  </si>
  <si>
    <t>Limanowskiego 13D</t>
  </si>
  <si>
    <t>Limanowskiego 33b</t>
  </si>
  <si>
    <t>Limanowskiego 20</t>
  </si>
  <si>
    <t>-</t>
  </si>
  <si>
    <t>Limanowskiego 56</t>
  </si>
  <si>
    <t>Mielczarskiego 11</t>
  </si>
  <si>
    <t>Mielczarskiego 19/23</t>
  </si>
  <si>
    <t>Mireckiego 58 bl.6</t>
  </si>
  <si>
    <t>Mireckiego 60 bl 7</t>
  </si>
  <si>
    <t>Mireckiego 60 bl. 8</t>
  </si>
  <si>
    <t>Mireckiego 97</t>
  </si>
  <si>
    <t>Mireckiego 103</t>
  </si>
  <si>
    <t>Narutowicza 32</t>
  </si>
  <si>
    <t>Narutowicza 34</t>
  </si>
  <si>
    <t>Narutowicza 36</t>
  </si>
  <si>
    <t>Okrzei 51 B</t>
  </si>
  <si>
    <t>Ossowskiego 25 bl. 1</t>
  </si>
  <si>
    <t>Ossowskirgo 25 bl. 2</t>
  </si>
  <si>
    <t>Ossowskiego 25 bl. 3</t>
  </si>
  <si>
    <t>Sikorskiego 21</t>
  </si>
  <si>
    <t>Słoneczna 2</t>
  </si>
  <si>
    <t>Słoneczna 4</t>
  </si>
  <si>
    <t>Spółdzielcza 50</t>
  </si>
  <si>
    <t>Szpitalna 3</t>
  </si>
  <si>
    <t xml:space="preserve"> -</t>
  </si>
  <si>
    <t>Środkowa 15</t>
  </si>
  <si>
    <t>Środkowa 29</t>
  </si>
  <si>
    <t>Towarowa 14</t>
  </si>
  <si>
    <t>Wittenberga 4</t>
  </si>
  <si>
    <t>Wittenberga 6</t>
  </si>
  <si>
    <t>Wittenberga 9</t>
  </si>
  <si>
    <t>Wyszyńskiego 6</t>
  </si>
  <si>
    <t>Wyszyńskiego 7</t>
  </si>
  <si>
    <t>Wyszyńskirgo 11</t>
  </si>
  <si>
    <t>Żeromskiego 11</t>
  </si>
  <si>
    <t>III  Budynki Wspólnot Mieszkaniowych zarządzanych przez PGM na dzień 31.10.2022 r.</t>
  </si>
  <si>
    <r>
      <t>Powierzchnia lokali mieszkalnych [m</t>
    </r>
    <r>
      <rPr>
        <b/>
        <sz val="10"/>
        <rFont val="Arial"/>
        <family val="2"/>
      </rPr>
      <t>²</t>
    </r>
    <r>
      <rPr>
        <b/>
        <sz val="10"/>
        <rFont val="Times New Roman"/>
        <family val="1"/>
      </rPr>
      <t>]</t>
    </r>
  </si>
  <si>
    <t>Powierzchnia lokali użytkowych [m²]</t>
  </si>
  <si>
    <t>Razem powierzchnia lokali wykupionych [m²]</t>
  </si>
  <si>
    <t>Razem powierzchnia wszystkich lokali [m²]</t>
  </si>
  <si>
    <t>Udział GM w części wspólnej</t>
  </si>
  <si>
    <t>1 Maja 38 fr.</t>
  </si>
  <si>
    <t>1 Maja 53</t>
  </si>
  <si>
    <t>1 Maja 54</t>
  </si>
  <si>
    <t>1 Maja 55</t>
  </si>
  <si>
    <t>1 Maja 76</t>
  </si>
  <si>
    <t>1 Maja 82</t>
  </si>
  <si>
    <t>Armii Krajowej 8</t>
  </si>
  <si>
    <t>Armii Krajowej 2</t>
  </si>
  <si>
    <t>Bielnikowa 7B</t>
  </si>
  <si>
    <t>Dekerta 12 fr + of</t>
  </si>
  <si>
    <t>Ditttricha 3</t>
  </si>
  <si>
    <t>Dittricha 8</t>
  </si>
  <si>
    <t>Dekerta 2 b</t>
  </si>
  <si>
    <t>Gen. Józefa Hallera 4</t>
  </si>
  <si>
    <t>Jaktorowska 38</t>
  </si>
  <si>
    <t>Farbiarska 2</t>
  </si>
  <si>
    <t>Kanałowa 1</t>
  </si>
  <si>
    <t>Kanałowa 3</t>
  </si>
  <si>
    <t>Konarskiego 6</t>
  </si>
  <si>
    <t>Kościelna 11</t>
  </si>
  <si>
    <t>Kościelna 15</t>
  </si>
  <si>
    <t>Kościelna 3</t>
  </si>
  <si>
    <t>Kościelna 4</t>
  </si>
  <si>
    <t>Kościelna 6</t>
  </si>
  <si>
    <t>Kościelna 7</t>
  </si>
  <si>
    <t>Kościelna 8</t>
  </si>
  <si>
    <t>Kościuszki 18</t>
  </si>
  <si>
    <t>Kościuszki 20</t>
  </si>
  <si>
    <t>Kościuszki 22</t>
  </si>
  <si>
    <t xml:space="preserve">Kościuszki 24 </t>
  </si>
  <si>
    <t>Kościuszki 26</t>
  </si>
  <si>
    <t>Kościuszki 28</t>
  </si>
  <si>
    <t>Kościuszki 29</t>
  </si>
  <si>
    <t>Kościuszki 30</t>
  </si>
  <si>
    <t>Kościuszki 31</t>
  </si>
  <si>
    <t>Kościuszki 33</t>
  </si>
  <si>
    <t>Kościuszki 35 a</t>
  </si>
  <si>
    <t>Kościuszki 36</t>
  </si>
  <si>
    <t>Kościuszki 37</t>
  </si>
  <si>
    <t>Kościuszki 43</t>
  </si>
  <si>
    <t>Kościuszki 47</t>
  </si>
  <si>
    <t>Kościuszki 32</t>
  </si>
  <si>
    <t>Legionów Polskich 71</t>
  </si>
  <si>
    <t>Legionów Polskich 72</t>
  </si>
  <si>
    <t>Legionów Polskich 76</t>
  </si>
  <si>
    <t>Limanowsiego 31b</t>
  </si>
  <si>
    <t>Limanowskiego 12 g</t>
  </si>
  <si>
    <t>Limanowskiego 12 h</t>
  </si>
  <si>
    <t>Limanowskiego 14</t>
  </si>
  <si>
    <t>Limanowskiego 16</t>
  </si>
  <si>
    <t>Limanowskiego 17</t>
  </si>
  <si>
    <t>Limanowskiego 19</t>
  </si>
  <si>
    <t>Limanowskiego 21</t>
  </si>
  <si>
    <t>Limanowskiego 22</t>
  </si>
  <si>
    <t>Limanowskiego 23</t>
  </si>
  <si>
    <t>Limanowskiego 24</t>
  </si>
  <si>
    <t>Limanowskiego 26</t>
  </si>
  <si>
    <t>Limanowskiego 28</t>
  </si>
  <si>
    <t>Limanowskiego 29</t>
  </si>
  <si>
    <t>Limanowskiego 32</t>
  </si>
  <si>
    <t>Limanowskiego 34</t>
  </si>
  <si>
    <t>Limanowskiego 36a</t>
  </si>
  <si>
    <t>Limanowskiego 37 a</t>
  </si>
  <si>
    <t>Limanowskiego 43</t>
  </si>
  <si>
    <t>Łukasińskiego 18/20</t>
  </si>
  <si>
    <t>Mireckiego 54 bl.1</t>
  </si>
  <si>
    <t>Mireckiego 54 bl.2</t>
  </si>
  <si>
    <t>Mireckiego 58 bl.4</t>
  </si>
  <si>
    <t>Mireckiego 58 bl.5</t>
  </si>
  <si>
    <t>Mireckiego 60 bl.2</t>
  </si>
  <si>
    <t>Mireckiego 60 bl.3</t>
  </si>
  <si>
    <t>Mireckiego 60 bl.9</t>
  </si>
  <si>
    <t>Mireckiego 63</t>
  </si>
  <si>
    <t>Mireckiego 64</t>
  </si>
  <si>
    <t>Mireckiego 68</t>
  </si>
  <si>
    <t>Mireckiego 70</t>
  </si>
  <si>
    <t>Moniuszki 13</t>
  </si>
  <si>
    <t>Moniuszki 32</t>
  </si>
  <si>
    <t>Narutowicza 24 b</t>
  </si>
  <si>
    <t xml:space="preserve">Narutowicza 25   </t>
  </si>
  <si>
    <t>Narutowicza 26 b</t>
  </si>
  <si>
    <t>Narutowicza 28</t>
  </si>
  <si>
    <t>Narutowicza 38</t>
  </si>
  <si>
    <t>Narutowicza 40</t>
  </si>
  <si>
    <t>Okrzei 11</t>
  </si>
  <si>
    <t>Ossowskiego 25 bl.4</t>
  </si>
  <si>
    <t>Ossowskiego 27</t>
  </si>
  <si>
    <t>Ossowskiego 31</t>
  </si>
  <si>
    <t>Ossowskiego 33</t>
  </si>
  <si>
    <t>Pl.J.Pawła 5</t>
  </si>
  <si>
    <t>POW 4</t>
  </si>
  <si>
    <t>Pr.Wyszynskiego 8</t>
  </si>
  <si>
    <t>Pr.Wyszyńskiego 1</t>
  </si>
  <si>
    <t>Pr.Wyszyńskiego 10</t>
  </si>
  <si>
    <t>Pr.Wyszyńskiego 2</t>
  </si>
  <si>
    <t>Pr.Wyszyńskiego 3</t>
  </si>
  <si>
    <t>Pr.Wyszyńskiego 4</t>
  </si>
  <si>
    <t>Pr.Wyszyńskiego 9</t>
  </si>
  <si>
    <t>Rodzinna 1</t>
  </si>
  <si>
    <t>Rodzinna 3</t>
  </si>
  <si>
    <t>Rodzinna 5</t>
  </si>
  <si>
    <t>Sienkiewicza 8</t>
  </si>
  <si>
    <t>Sławińskiego 2</t>
  </si>
  <si>
    <t>Sławińskiego 3</t>
  </si>
  <si>
    <t>Sławińskiego 4</t>
  </si>
  <si>
    <t>Smocza 2</t>
  </si>
  <si>
    <t>Środkowa 11</t>
  </si>
  <si>
    <t>Środkowa 13</t>
  </si>
  <si>
    <t>Staszica 4</t>
  </si>
  <si>
    <t>Strażacka 3</t>
  </si>
  <si>
    <t>Sz.Szeregów 3</t>
  </si>
  <si>
    <t>Sz.Szeregów 4a</t>
  </si>
  <si>
    <t>Waryńskiego 9</t>
  </si>
  <si>
    <t>Waryńskiego 21 a</t>
  </si>
  <si>
    <t>Wittenberga 11</t>
  </si>
  <si>
    <t>Wittenberga 12</t>
  </si>
  <si>
    <t>Żeromskiego 10</t>
  </si>
  <si>
    <t>Żeromskiego 2</t>
  </si>
  <si>
    <t>Żeromskiego 5a</t>
  </si>
  <si>
    <t>Żeromskiego 6</t>
  </si>
  <si>
    <t>Załącznik nr 6 do Zapytania ofertowego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</si>
</sst>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#,##0_ ;\-#,##0\ "/>
  </numFmts>
  <fonts count="42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/>
    </xf>
    <xf numFmtId="165" fontId="2" fillId="0" borderId="11" xfId="42" applyFont="1" applyBorder="1" applyAlignment="1">
      <alignment/>
    </xf>
    <xf numFmtId="165" fontId="2" fillId="0" borderId="11" xfId="42" applyFont="1" applyBorder="1" applyAlignment="1">
      <alignment horizontal="right"/>
    </xf>
    <xf numFmtId="0" fontId="2" fillId="0" borderId="12" xfId="0" applyFont="1" applyBorder="1" applyAlignment="1">
      <alignment/>
    </xf>
    <xf numFmtId="165" fontId="2" fillId="0" borderId="12" xfId="42" applyFont="1" applyBorder="1" applyAlignment="1">
      <alignment/>
    </xf>
    <xf numFmtId="0" fontId="2" fillId="0" borderId="13" xfId="0" applyFont="1" applyBorder="1" applyAlignment="1">
      <alignment/>
    </xf>
    <xf numFmtId="165" fontId="2" fillId="0" borderId="13" xfId="42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5" fontId="2" fillId="0" borderId="0" xfId="42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11" xfId="42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11" xfId="42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/>
    </xf>
    <xf numFmtId="165" fontId="2" fillId="0" borderId="11" xfId="42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165" fontId="2" fillId="33" borderId="11" xfId="42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165" fontId="2" fillId="33" borderId="11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165" fontId="2" fillId="0" borderId="24" xfId="42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165" fontId="1" fillId="34" borderId="25" xfId="42" applyFont="1" applyFill="1" applyBorder="1" applyAlignment="1">
      <alignment/>
    </xf>
    <xf numFmtId="169" fontId="1" fillId="34" borderId="25" xfId="42" applyNumberFormat="1" applyFont="1" applyFill="1" applyBorder="1" applyAlignment="1">
      <alignment/>
    </xf>
    <xf numFmtId="169" fontId="1" fillId="34" borderId="26" xfId="42" applyNumberFormat="1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165" fontId="1" fillId="34" borderId="30" xfId="42" applyFont="1" applyFill="1" applyBorder="1" applyAlignment="1">
      <alignment/>
    </xf>
    <xf numFmtId="2" fontId="1" fillId="34" borderId="30" xfId="0" applyNumberFormat="1" applyFont="1" applyFill="1" applyBorder="1" applyAlignment="1">
      <alignment horizontal="center"/>
    </xf>
    <xf numFmtId="1" fontId="1" fillId="34" borderId="30" xfId="0" applyNumberFormat="1" applyFont="1" applyFill="1" applyBorder="1" applyAlignment="1">
      <alignment horizontal="center"/>
    </xf>
    <xf numFmtId="1" fontId="1" fillId="34" borderId="31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2" fillId="0" borderId="10" xfId="42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vertical="center"/>
    </xf>
    <xf numFmtId="165" fontId="1" fillId="34" borderId="25" xfId="42" applyFont="1" applyFill="1" applyBorder="1" applyAlignment="1">
      <alignment vertical="center"/>
    </xf>
    <xf numFmtId="0" fontId="1" fillId="34" borderId="25" xfId="0" applyFont="1" applyFill="1" applyBorder="1" applyAlignment="1">
      <alignment horizontal="center" vertical="center"/>
    </xf>
    <xf numFmtId="165" fontId="2" fillId="0" borderId="18" xfId="42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Border="1" applyAlignment="1">
      <alignment/>
    </xf>
    <xf numFmtId="0" fontId="1" fillId="34" borderId="26" xfId="0" applyFont="1" applyFill="1" applyBorder="1" applyAlignment="1">
      <alignment vertical="center"/>
    </xf>
    <xf numFmtId="0" fontId="2" fillId="0" borderId="11" xfId="0" applyFont="1" applyBorder="1" applyAlignment="1">
      <alignment vertical="top" wrapText="1"/>
    </xf>
    <xf numFmtId="165" fontId="2" fillId="0" borderId="11" xfId="42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4" xfId="0" applyFont="1" applyBorder="1" applyAlignment="1">
      <alignment/>
    </xf>
    <xf numFmtId="0" fontId="2" fillId="0" borderId="37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1"/>
    </xf>
    <xf numFmtId="165" fontId="2" fillId="0" borderId="12" xfId="42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indent="1"/>
    </xf>
    <xf numFmtId="0" fontId="2" fillId="33" borderId="11" xfId="0" applyFont="1" applyFill="1" applyBorder="1" applyAlignment="1">
      <alignment horizontal="left" vertical="center" indent="1"/>
    </xf>
    <xf numFmtId="165" fontId="2" fillId="33" borderId="11" xfId="42" applyFont="1" applyFill="1" applyBorder="1" applyAlignment="1">
      <alignment horizontal="center"/>
    </xf>
    <xf numFmtId="169" fontId="1" fillId="34" borderId="25" xfId="42" applyNumberFormat="1" applyFont="1" applyFill="1" applyBorder="1" applyAlignment="1">
      <alignment vertical="center"/>
    </xf>
    <xf numFmtId="169" fontId="1" fillId="34" borderId="26" xfId="42" applyNumberFormat="1" applyFont="1" applyFill="1" applyBorder="1" applyAlignment="1">
      <alignment vertical="center"/>
    </xf>
    <xf numFmtId="0" fontId="2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2" fontId="2" fillId="0" borderId="3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65" fontId="2" fillId="0" borderId="12" xfId="0" applyNumberFormat="1" applyFont="1" applyBorder="1" applyAlignment="1">
      <alignment horizontal="left" vertical="center"/>
    </xf>
    <xf numFmtId="165" fontId="2" fillId="0" borderId="12" xfId="60" applyNumberFormat="1" applyFont="1" applyBorder="1" applyAlignment="1">
      <alignment horizontal="left" vertical="center" wrapText="1"/>
    </xf>
    <xf numFmtId="165" fontId="2" fillId="0" borderId="14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left" vertical="center"/>
    </xf>
    <xf numFmtId="165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wrapText="1"/>
    </xf>
    <xf numFmtId="165" fontId="2" fillId="0" borderId="11" xfId="42" applyFont="1" applyFill="1" applyBorder="1" applyAlignment="1">
      <alignment horizontal="right"/>
    </xf>
    <xf numFmtId="165" fontId="2" fillId="0" borderId="15" xfId="0" applyNumberFormat="1" applyFont="1" applyBorder="1" applyAlignment="1">
      <alignment horizontal="center"/>
    </xf>
    <xf numFmtId="0" fontId="2" fillId="35" borderId="11" xfId="0" applyFont="1" applyFill="1" applyBorder="1" applyAlignment="1">
      <alignment/>
    </xf>
    <xf numFmtId="165" fontId="2" fillId="35" borderId="11" xfId="42" applyFont="1" applyFill="1" applyBorder="1" applyAlignment="1">
      <alignment horizontal="right"/>
    </xf>
    <xf numFmtId="0" fontId="2" fillId="35" borderId="11" xfId="0" applyFont="1" applyFill="1" applyBorder="1" applyAlignment="1">
      <alignment horizontal="center"/>
    </xf>
    <xf numFmtId="165" fontId="2" fillId="35" borderId="11" xfId="0" applyNumberFormat="1" applyFont="1" applyFill="1" applyBorder="1" applyAlignment="1">
      <alignment horizontal="center"/>
    </xf>
    <xf numFmtId="165" fontId="2" fillId="35" borderId="15" xfId="0" applyNumberFormat="1" applyFont="1" applyFill="1" applyBorder="1" applyAlignment="1">
      <alignment horizontal="center"/>
    </xf>
    <xf numFmtId="165" fontId="2" fillId="0" borderId="11" xfId="42" applyFont="1" applyFill="1" applyBorder="1" applyAlignment="1">
      <alignment horizontal="center"/>
    </xf>
    <xf numFmtId="169" fontId="2" fillId="0" borderId="11" xfId="0" applyNumberFormat="1" applyFont="1" applyBorder="1" applyAlignment="1">
      <alignment horizontal="center"/>
    </xf>
    <xf numFmtId="169" fontId="2" fillId="0" borderId="15" xfId="0" applyNumberFormat="1" applyFont="1" applyBorder="1" applyAlignment="1">
      <alignment horizontal="center"/>
    </xf>
    <xf numFmtId="165" fontId="2" fillId="35" borderId="11" xfId="42" applyFont="1" applyFill="1" applyBorder="1" applyAlignment="1">
      <alignment horizontal="center"/>
    </xf>
    <xf numFmtId="165" fontId="2" fillId="0" borderId="15" xfId="42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5" fontId="2" fillId="0" borderId="10" xfId="42" applyFont="1" applyBorder="1" applyAlignment="1">
      <alignment horizontal="right"/>
    </xf>
    <xf numFmtId="165" fontId="2" fillId="0" borderId="10" xfId="0" applyNumberFormat="1" applyFont="1" applyBorder="1" applyAlignment="1">
      <alignment horizontal="center"/>
    </xf>
    <xf numFmtId="165" fontId="2" fillId="0" borderId="19" xfId="42" applyFont="1" applyBorder="1" applyAlignment="1">
      <alignment horizontal="center"/>
    </xf>
    <xf numFmtId="0" fontId="2" fillId="34" borderId="3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169" fontId="1" fillId="34" borderId="26" xfId="42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center"/>
    </xf>
    <xf numFmtId="0" fontId="2" fillId="0" borderId="12" xfId="0" applyFont="1" applyBorder="1" applyAlignment="1">
      <alignment horizontal="left"/>
    </xf>
    <xf numFmtId="165" fontId="2" fillId="0" borderId="12" xfId="42" applyFont="1" applyFill="1" applyBorder="1" applyAlignment="1">
      <alignment horizontal="right"/>
    </xf>
    <xf numFmtId="165" fontId="2" fillId="0" borderId="12" xfId="42" applyFont="1" applyBorder="1" applyAlignment="1">
      <alignment horizontal="right"/>
    </xf>
    <xf numFmtId="165" fontId="2" fillId="0" borderId="12" xfId="0" applyNumberFormat="1" applyFont="1" applyBorder="1" applyAlignment="1">
      <alignment horizontal="center"/>
    </xf>
    <xf numFmtId="170" fontId="2" fillId="36" borderId="12" xfId="0" applyNumberFormat="1" applyFont="1" applyFill="1" applyBorder="1" applyAlignment="1">
      <alignment horizontal="center"/>
    </xf>
    <xf numFmtId="170" fontId="2" fillId="36" borderId="11" xfId="0" applyNumberFormat="1" applyFont="1" applyFill="1" applyBorder="1" applyAlignment="1">
      <alignment horizontal="center"/>
    </xf>
    <xf numFmtId="169" fontId="2" fillId="0" borderId="11" xfId="42" applyNumberFormat="1" applyFont="1" applyBorder="1" applyAlignment="1">
      <alignment horizontal="right"/>
    </xf>
    <xf numFmtId="0" fontId="2" fillId="35" borderId="11" xfId="0" applyFont="1" applyFill="1" applyBorder="1" applyAlignment="1">
      <alignment horizontal="left"/>
    </xf>
    <xf numFmtId="170" fontId="2" fillId="35" borderId="11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165" fontId="2" fillId="0" borderId="11" xfId="42" applyFont="1" applyBorder="1" applyAlignment="1">
      <alignment horizontal="left"/>
    </xf>
    <xf numFmtId="0" fontId="2" fillId="37" borderId="11" xfId="0" applyFont="1" applyFill="1" applyBorder="1" applyAlignment="1">
      <alignment horizontal="left"/>
    </xf>
    <xf numFmtId="165" fontId="2" fillId="37" borderId="11" xfId="42" applyFont="1" applyFill="1" applyBorder="1" applyAlignment="1">
      <alignment horizontal="right"/>
    </xf>
    <xf numFmtId="165" fontId="2" fillId="37" borderId="11" xfId="0" applyNumberFormat="1" applyFont="1" applyFill="1" applyBorder="1" applyAlignment="1">
      <alignment horizontal="center"/>
    </xf>
    <xf numFmtId="170" fontId="2" fillId="37" borderId="11" xfId="0" applyNumberFormat="1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171" fontId="2" fillId="0" borderId="11" xfId="42" applyNumberFormat="1" applyFont="1" applyBorder="1" applyAlignment="1">
      <alignment horizontal="right"/>
    </xf>
    <xf numFmtId="165" fontId="2" fillId="0" borderId="10" xfId="42" applyFont="1" applyFill="1" applyBorder="1" applyAlignment="1">
      <alignment horizontal="right"/>
    </xf>
    <xf numFmtId="170" fontId="2" fillId="36" borderId="10" xfId="0" applyNumberFormat="1" applyFont="1" applyFill="1" applyBorder="1" applyAlignment="1">
      <alignment horizontal="center"/>
    </xf>
    <xf numFmtId="44" fontId="1" fillId="34" borderId="25" xfId="42" applyNumberFormat="1" applyFont="1" applyFill="1" applyBorder="1" applyAlignment="1">
      <alignment/>
    </xf>
    <xf numFmtId="0" fontId="1" fillId="34" borderId="25" xfId="0" applyFont="1" applyFill="1" applyBorder="1" applyAlignment="1">
      <alignment horizontal="center"/>
    </xf>
    <xf numFmtId="165" fontId="1" fillId="34" borderId="25" xfId="42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1" fillId="34" borderId="45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/>
    </xf>
    <xf numFmtId="0" fontId="1" fillId="34" borderId="4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1" fillId="34" borderId="46" xfId="0" applyFont="1" applyFill="1" applyBorder="1" applyAlignment="1">
      <alignment horizontal="center"/>
    </xf>
    <xf numFmtId="0" fontId="1" fillId="34" borderId="47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3" xfId="0" applyFont="1" applyBorder="1" applyAlignment="1">
      <alignment horizontal="center"/>
    </xf>
    <xf numFmtId="0" fontId="1" fillId="34" borderId="49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1" fillId="0" borderId="43" xfId="0" applyFont="1" applyBorder="1" applyAlignment="1">
      <alignment horizontal="left"/>
    </xf>
    <xf numFmtId="0" fontId="0" fillId="34" borderId="49" xfId="0" applyFont="1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4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34" borderId="28" xfId="0" applyFill="1" applyBorder="1" applyAlignment="1">
      <alignment/>
    </xf>
    <xf numFmtId="0" fontId="1" fillId="34" borderId="3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1"/>
  <sheetViews>
    <sheetView tabSelected="1" zoomScalePageLayoutView="0" workbookViewId="0" topLeftCell="A1">
      <selection activeCell="G1" sqref="G1:I1"/>
    </sheetView>
  </sheetViews>
  <sheetFormatPr defaultColWidth="9.00390625" defaultRowHeight="12.75"/>
  <cols>
    <col min="1" max="1" width="4.25390625" style="39" customWidth="1"/>
    <col min="2" max="2" width="20.625" style="5" customWidth="1"/>
    <col min="3" max="3" width="13.25390625" style="5" customWidth="1"/>
    <col min="4" max="5" width="12.25390625" style="5" customWidth="1"/>
    <col min="6" max="6" width="10.375" style="5" customWidth="1"/>
    <col min="7" max="7" width="11.625" style="5" customWidth="1"/>
    <col min="8" max="8" width="13.00390625" style="5" customWidth="1"/>
    <col min="9" max="9" width="12.00390625" style="5" customWidth="1"/>
    <col min="10" max="16384" width="9.125" style="5" customWidth="1"/>
  </cols>
  <sheetData>
    <row r="1" spans="1:9" ht="12.75">
      <c r="A1" s="53"/>
      <c r="G1" s="221" t="s">
        <v>371</v>
      </c>
      <c r="H1" s="221"/>
      <c r="I1" s="221"/>
    </row>
    <row r="2" spans="1:7" ht="12.75">
      <c r="A2" s="37"/>
      <c r="B2" s="1"/>
      <c r="C2" s="1"/>
      <c r="D2" s="1"/>
      <c r="E2" s="1"/>
      <c r="F2" s="1"/>
      <c r="G2" s="1"/>
    </row>
    <row r="3" spans="1:9" ht="12.75">
      <c r="A3" s="192" t="s">
        <v>113</v>
      </c>
      <c r="B3" s="192"/>
      <c r="C3" s="192"/>
      <c r="D3" s="192"/>
      <c r="E3" s="192"/>
      <c r="F3" s="192"/>
      <c r="G3" s="192"/>
      <c r="H3" s="192"/>
      <c r="I3" s="192"/>
    </row>
    <row r="4" spans="1:9" ht="12.75">
      <c r="A4" s="192" t="s">
        <v>114</v>
      </c>
      <c r="B4" s="192"/>
      <c r="C4" s="192"/>
      <c r="D4" s="192"/>
      <c r="E4" s="192"/>
      <c r="F4" s="192"/>
      <c r="G4" s="192"/>
      <c r="H4" s="192"/>
      <c r="I4" s="192"/>
    </row>
    <row r="5" spans="1:9" ht="13.5" thickBot="1">
      <c r="A5" s="193" t="s">
        <v>154</v>
      </c>
      <c r="B5" s="193"/>
      <c r="C5" s="193"/>
      <c r="D5" s="193"/>
      <c r="E5" s="193"/>
      <c r="F5" s="193"/>
      <c r="G5" s="193"/>
      <c r="H5" s="193"/>
      <c r="I5" s="193"/>
    </row>
    <row r="6" spans="1:9" s="12" customFormat="1" ht="31.5" customHeight="1">
      <c r="A6" s="171" t="s">
        <v>0</v>
      </c>
      <c r="B6" s="195" t="s">
        <v>115</v>
      </c>
      <c r="C6" s="178" t="s">
        <v>137</v>
      </c>
      <c r="D6" s="179"/>
      <c r="E6" s="200" t="s">
        <v>138</v>
      </c>
      <c r="F6" s="200" t="s">
        <v>119</v>
      </c>
      <c r="G6" s="180" t="s">
        <v>120</v>
      </c>
      <c r="H6" s="181"/>
      <c r="I6" s="198" t="s">
        <v>121</v>
      </c>
    </row>
    <row r="7" spans="1:9" s="25" customFormat="1" ht="41.25" customHeight="1" thickBot="1">
      <c r="A7" s="172"/>
      <c r="B7" s="197"/>
      <c r="C7" s="58" t="s">
        <v>122</v>
      </c>
      <c r="D7" s="58" t="s">
        <v>123</v>
      </c>
      <c r="E7" s="201"/>
      <c r="F7" s="201"/>
      <c r="G7" s="58" t="s">
        <v>122</v>
      </c>
      <c r="H7" s="58" t="s">
        <v>123</v>
      </c>
      <c r="I7" s="199"/>
    </row>
    <row r="8" spans="1:9" ht="12.75">
      <c r="A8" s="42">
        <v>1</v>
      </c>
      <c r="B8" s="8" t="s">
        <v>77</v>
      </c>
      <c r="C8" s="9">
        <f>374.84-11.5</f>
        <v>363.34</v>
      </c>
      <c r="D8" s="9">
        <f>19.5+11.5</f>
        <v>31</v>
      </c>
      <c r="E8" s="9">
        <f>C8+D8</f>
        <v>394.34</v>
      </c>
      <c r="F8" s="13">
        <v>1</v>
      </c>
      <c r="G8" s="13">
        <f>8-1</f>
        <v>7</v>
      </c>
      <c r="H8" s="13">
        <f>1</f>
        <v>1</v>
      </c>
      <c r="I8" s="14">
        <f>SUM(G8:H8)</f>
        <v>8</v>
      </c>
    </row>
    <row r="9" spans="1:9" ht="12.75">
      <c r="A9" s="21">
        <v>2</v>
      </c>
      <c r="B9" s="3" t="s">
        <v>129</v>
      </c>
      <c r="C9" s="6">
        <v>497.3</v>
      </c>
      <c r="D9" s="6">
        <v>0</v>
      </c>
      <c r="E9" s="6">
        <f>C9+D9</f>
        <v>497.3</v>
      </c>
      <c r="F9" s="15">
        <v>1</v>
      </c>
      <c r="G9" s="15">
        <v>14</v>
      </c>
      <c r="H9" s="31">
        <v>0</v>
      </c>
      <c r="I9" s="16">
        <f>SUM(G9:H9)</f>
        <v>14</v>
      </c>
    </row>
    <row r="10" spans="1:9" ht="12.75">
      <c r="A10" s="21">
        <v>3</v>
      </c>
      <c r="B10" s="3" t="s">
        <v>10</v>
      </c>
      <c r="C10" s="6">
        <v>464.24</v>
      </c>
      <c r="D10" s="6">
        <v>23.9</v>
      </c>
      <c r="E10" s="6">
        <f>C10+D10</f>
        <v>488.14</v>
      </c>
      <c r="F10" s="15">
        <v>1</v>
      </c>
      <c r="G10" s="15">
        <f>17-1</f>
        <v>16</v>
      </c>
      <c r="H10" s="15">
        <v>1</v>
      </c>
      <c r="I10" s="16">
        <f>SUM(G10:H10)</f>
        <v>17</v>
      </c>
    </row>
    <row r="11" spans="1:9" ht="12.75">
      <c r="A11" s="21">
        <v>4</v>
      </c>
      <c r="B11" s="45" t="s">
        <v>11</v>
      </c>
      <c r="C11" s="46">
        <v>23.9</v>
      </c>
      <c r="D11" s="46">
        <v>0</v>
      </c>
      <c r="E11" s="46">
        <f>C11+D11</f>
        <v>23.9</v>
      </c>
      <c r="F11" s="47">
        <v>1</v>
      </c>
      <c r="G11" s="47">
        <v>1</v>
      </c>
      <c r="H11" s="48">
        <v>0</v>
      </c>
      <c r="I11" s="49">
        <f>SUM(G11:H11)</f>
        <v>1</v>
      </c>
    </row>
    <row r="12" spans="1:10" ht="12.75">
      <c r="A12" s="21">
        <v>5</v>
      </c>
      <c r="B12" s="3" t="s">
        <v>84</v>
      </c>
      <c r="C12" s="6">
        <v>291.06</v>
      </c>
      <c r="D12" s="6">
        <v>122.42</v>
      </c>
      <c r="E12" s="6">
        <f aca="true" t="shared" si="0" ref="E12:E69">C12+D12</f>
        <v>413.48</v>
      </c>
      <c r="F12" s="15">
        <v>1</v>
      </c>
      <c r="G12" s="15">
        <v>7</v>
      </c>
      <c r="H12" s="15">
        <v>2</v>
      </c>
      <c r="I12" s="16">
        <f aca="true" t="shared" si="1" ref="I12:I68">SUM(G12:H12)</f>
        <v>9</v>
      </c>
      <c r="J12" s="28"/>
    </row>
    <row r="13" spans="1:9" ht="12.75">
      <c r="A13" s="21">
        <v>6</v>
      </c>
      <c r="B13" s="3" t="s">
        <v>85</v>
      </c>
      <c r="C13" s="6">
        <v>436.39</v>
      </c>
      <c r="D13" s="6">
        <v>0</v>
      </c>
      <c r="E13" s="6">
        <f t="shared" si="0"/>
        <v>436.39</v>
      </c>
      <c r="F13" s="15">
        <v>1</v>
      </c>
      <c r="G13" s="15">
        <v>15</v>
      </c>
      <c r="H13" s="6">
        <v>0</v>
      </c>
      <c r="I13" s="16">
        <f t="shared" si="1"/>
        <v>15</v>
      </c>
    </row>
    <row r="14" spans="1:9" ht="12.75">
      <c r="A14" s="21">
        <v>7</v>
      </c>
      <c r="B14" s="3" t="s">
        <v>126</v>
      </c>
      <c r="C14" s="6">
        <v>364.33</v>
      </c>
      <c r="D14" s="6">
        <v>70.31</v>
      </c>
      <c r="E14" s="6">
        <f t="shared" si="0"/>
        <v>434.64</v>
      </c>
      <c r="F14" s="15">
        <v>1</v>
      </c>
      <c r="G14" s="35">
        <v>12</v>
      </c>
      <c r="H14" s="15">
        <v>1</v>
      </c>
      <c r="I14" s="16">
        <f t="shared" si="1"/>
        <v>13</v>
      </c>
    </row>
    <row r="15" spans="1:9" ht="13.5" thickBot="1">
      <c r="A15" s="21">
        <v>8</v>
      </c>
      <c r="B15" s="3" t="s">
        <v>91</v>
      </c>
      <c r="C15" s="6">
        <v>305.79</v>
      </c>
      <c r="D15" s="6">
        <v>364.5</v>
      </c>
      <c r="E15" s="6">
        <f t="shared" si="0"/>
        <v>670.29</v>
      </c>
      <c r="F15" s="15">
        <v>1</v>
      </c>
      <c r="G15" s="35">
        <v>8</v>
      </c>
      <c r="H15" s="15">
        <v>2</v>
      </c>
      <c r="I15" s="16">
        <f t="shared" si="1"/>
        <v>10</v>
      </c>
    </row>
    <row r="16" spans="1:9" ht="12.75">
      <c r="A16" s="42">
        <v>9</v>
      </c>
      <c r="B16" s="3" t="s">
        <v>86</v>
      </c>
      <c r="C16" s="6">
        <v>418.37</v>
      </c>
      <c r="D16" s="6">
        <v>216.48</v>
      </c>
      <c r="E16" s="6">
        <f t="shared" si="0"/>
        <v>634.85</v>
      </c>
      <c r="F16" s="15">
        <v>1</v>
      </c>
      <c r="G16" s="35">
        <v>11</v>
      </c>
      <c r="H16" s="15">
        <v>1</v>
      </c>
      <c r="I16" s="16">
        <f t="shared" si="1"/>
        <v>12</v>
      </c>
    </row>
    <row r="17" spans="1:9" ht="12.75">
      <c r="A17" s="21">
        <v>10</v>
      </c>
      <c r="B17" s="3" t="s">
        <v>6</v>
      </c>
      <c r="C17" s="6">
        <v>217.14</v>
      </c>
      <c r="D17" s="6">
        <v>101.48</v>
      </c>
      <c r="E17" s="6">
        <f t="shared" si="0"/>
        <v>318.62</v>
      </c>
      <c r="F17" s="15">
        <v>1</v>
      </c>
      <c r="G17" s="15">
        <f>6+1</f>
        <v>7</v>
      </c>
      <c r="H17" s="15">
        <v>1</v>
      </c>
      <c r="I17" s="16">
        <f t="shared" si="1"/>
        <v>8</v>
      </c>
    </row>
    <row r="18" spans="1:9" ht="12.75">
      <c r="A18" s="21">
        <v>11</v>
      </c>
      <c r="B18" s="3" t="s">
        <v>7</v>
      </c>
      <c r="C18" s="6">
        <v>186.8</v>
      </c>
      <c r="D18" s="6">
        <v>21</v>
      </c>
      <c r="E18" s="6">
        <f t="shared" si="0"/>
        <v>207.8</v>
      </c>
      <c r="F18" s="15">
        <v>1</v>
      </c>
      <c r="G18" s="15">
        <v>6</v>
      </c>
      <c r="H18" s="15">
        <v>1</v>
      </c>
      <c r="I18" s="16">
        <f t="shared" si="1"/>
        <v>7</v>
      </c>
    </row>
    <row r="19" spans="1:9" ht="12.75">
      <c r="A19" s="21">
        <v>12</v>
      </c>
      <c r="B19" s="3" t="s">
        <v>8</v>
      </c>
      <c r="C19" s="6">
        <v>142.15</v>
      </c>
      <c r="D19" s="6">
        <f>189.33-2.99</f>
        <v>186.34</v>
      </c>
      <c r="E19" s="6">
        <f t="shared" si="0"/>
        <v>328.49</v>
      </c>
      <c r="F19" s="15">
        <v>1</v>
      </c>
      <c r="G19" s="15">
        <v>3</v>
      </c>
      <c r="H19" s="15">
        <f>1+2</f>
        <v>3</v>
      </c>
      <c r="I19" s="16">
        <f t="shared" si="1"/>
        <v>6</v>
      </c>
    </row>
    <row r="20" spans="1:9" ht="12.75">
      <c r="A20" s="21">
        <v>13</v>
      </c>
      <c r="B20" s="3" t="s">
        <v>4</v>
      </c>
      <c r="C20" s="6">
        <v>585.31</v>
      </c>
      <c r="D20" s="6">
        <v>125.67</v>
      </c>
      <c r="E20" s="6">
        <f t="shared" si="0"/>
        <v>710.9799999999999</v>
      </c>
      <c r="F20" s="15">
        <v>1</v>
      </c>
      <c r="G20" s="15">
        <v>20</v>
      </c>
      <c r="H20" s="15">
        <v>4</v>
      </c>
      <c r="I20" s="16">
        <f t="shared" si="1"/>
        <v>24</v>
      </c>
    </row>
    <row r="21" spans="1:9" ht="12.75">
      <c r="A21" s="21">
        <v>14</v>
      </c>
      <c r="B21" s="3" t="s">
        <v>5</v>
      </c>
      <c r="C21" s="6">
        <v>285.18</v>
      </c>
      <c r="D21" s="6">
        <v>0</v>
      </c>
      <c r="E21" s="6">
        <f t="shared" si="0"/>
        <v>285.18</v>
      </c>
      <c r="F21" s="15">
        <v>1</v>
      </c>
      <c r="G21" s="15">
        <v>12</v>
      </c>
      <c r="H21" s="6">
        <v>0</v>
      </c>
      <c r="I21" s="16">
        <f t="shared" si="1"/>
        <v>12</v>
      </c>
    </row>
    <row r="22" spans="1:9" ht="12.75">
      <c r="A22" s="21">
        <v>15</v>
      </c>
      <c r="B22" s="3" t="s">
        <v>112</v>
      </c>
      <c r="C22" s="6">
        <v>287.07</v>
      </c>
      <c r="D22" s="6">
        <v>0</v>
      </c>
      <c r="E22" s="6">
        <f t="shared" si="0"/>
        <v>287.07</v>
      </c>
      <c r="F22" s="15">
        <v>0.5</v>
      </c>
      <c r="G22" s="35">
        <v>10</v>
      </c>
      <c r="H22" s="6">
        <v>0</v>
      </c>
      <c r="I22" s="16">
        <f t="shared" si="1"/>
        <v>10</v>
      </c>
    </row>
    <row r="23" spans="1:9" ht="13.5" thickBot="1">
      <c r="A23" s="21">
        <v>16</v>
      </c>
      <c r="B23" s="3" t="s">
        <v>49</v>
      </c>
      <c r="C23" s="6">
        <v>801.34</v>
      </c>
      <c r="D23" s="6">
        <v>0</v>
      </c>
      <c r="E23" s="6">
        <f t="shared" si="0"/>
        <v>801.34</v>
      </c>
      <c r="F23" s="15">
        <v>1</v>
      </c>
      <c r="G23" s="15">
        <f>28-1-1</f>
        <v>26</v>
      </c>
      <c r="H23" s="6">
        <v>0</v>
      </c>
      <c r="I23" s="16">
        <f t="shared" si="1"/>
        <v>26</v>
      </c>
    </row>
    <row r="24" spans="1:9" ht="12.75">
      <c r="A24" s="42">
        <v>17</v>
      </c>
      <c r="B24" s="3" t="s">
        <v>9</v>
      </c>
      <c r="C24" s="6">
        <f>731.13+7.48+2.83</f>
        <v>741.44</v>
      </c>
      <c r="D24" s="6">
        <v>0</v>
      </c>
      <c r="E24" s="6">
        <f t="shared" si="0"/>
        <v>741.44</v>
      </c>
      <c r="F24" s="15">
        <v>1</v>
      </c>
      <c r="G24" s="15">
        <f>20-1-1</f>
        <v>18</v>
      </c>
      <c r="H24" s="6">
        <v>0</v>
      </c>
      <c r="I24" s="16">
        <f t="shared" si="1"/>
        <v>18</v>
      </c>
    </row>
    <row r="25" spans="1:9" ht="12.75">
      <c r="A25" s="21">
        <v>18</v>
      </c>
      <c r="B25" s="3" t="s">
        <v>127</v>
      </c>
      <c r="C25" s="6">
        <v>295.8</v>
      </c>
      <c r="D25" s="6">
        <v>0</v>
      </c>
      <c r="E25" s="6">
        <f t="shared" si="0"/>
        <v>295.8</v>
      </c>
      <c r="F25" s="15">
        <v>1</v>
      </c>
      <c r="G25" s="15">
        <v>9</v>
      </c>
      <c r="H25" s="6">
        <v>0</v>
      </c>
      <c r="I25" s="16">
        <f t="shared" si="1"/>
        <v>9</v>
      </c>
    </row>
    <row r="26" spans="1:9" ht="12.75">
      <c r="A26" s="21">
        <v>19</v>
      </c>
      <c r="B26" s="3" t="s">
        <v>128</v>
      </c>
      <c r="C26" s="6">
        <v>846.6</v>
      </c>
      <c r="D26" s="36">
        <f>161.07+0.01</f>
        <v>161.07999999999998</v>
      </c>
      <c r="E26" s="6">
        <f t="shared" si="0"/>
        <v>1007.6800000000001</v>
      </c>
      <c r="F26" s="15">
        <v>1</v>
      </c>
      <c r="G26" s="15">
        <v>20</v>
      </c>
      <c r="H26" s="15">
        <v>4</v>
      </c>
      <c r="I26" s="16">
        <f t="shared" si="1"/>
        <v>24</v>
      </c>
    </row>
    <row r="27" spans="1:9" ht="12.75">
      <c r="A27" s="21">
        <v>20</v>
      </c>
      <c r="B27" s="3" t="s">
        <v>30</v>
      </c>
      <c r="C27" s="6">
        <v>328.65</v>
      </c>
      <c r="D27" s="6">
        <v>0</v>
      </c>
      <c r="E27" s="6">
        <f t="shared" si="0"/>
        <v>328.65</v>
      </c>
      <c r="F27" s="15">
        <v>1</v>
      </c>
      <c r="G27" s="15">
        <v>9</v>
      </c>
      <c r="H27" s="6">
        <v>0</v>
      </c>
      <c r="I27" s="16">
        <f t="shared" si="1"/>
        <v>9</v>
      </c>
    </row>
    <row r="28" spans="1:9" ht="12.75">
      <c r="A28" s="21">
        <v>21</v>
      </c>
      <c r="B28" s="3" t="s">
        <v>31</v>
      </c>
      <c r="C28" s="6">
        <v>231.53</v>
      </c>
      <c r="D28" s="6">
        <v>0</v>
      </c>
      <c r="E28" s="6">
        <f t="shared" si="0"/>
        <v>231.53</v>
      </c>
      <c r="F28" s="15">
        <v>0.5</v>
      </c>
      <c r="G28" s="15">
        <v>7</v>
      </c>
      <c r="H28" s="6">
        <v>0</v>
      </c>
      <c r="I28" s="16">
        <f t="shared" si="1"/>
        <v>7</v>
      </c>
    </row>
    <row r="29" spans="1:9" ht="12.75">
      <c r="A29" s="21">
        <v>22</v>
      </c>
      <c r="B29" s="3" t="s">
        <v>90</v>
      </c>
      <c r="C29" s="6">
        <f>360.29+18.45</f>
        <v>378.74</v>
      </c>
      <c r="D29" s="6">
        <v>0</v>
      </c>
      <c r="E29" s="6">
        <f t="shared" si="0"/>
        <v>378.74</v>
      </c>
      <c r="F29" s="15">
        <v>1</v>
      </c>
      <c r="G29" s="15">
        <v>8</v>
      </c>
      <c r="H29" s="6">
        <v>0</v>
      </c>
      <c r="I29" s="16">
        <f t="shared" si="1"/>
        <v>8</v>
      </c>
    </row>
    <row r="30" spans="1:9" ht="12.75">
      <c r="A30" s="21">
        <v>23</v>
      </c>
      <c r="B30" s="3" t="s">
        <v>16</v>
      </c>
      <c r="C30" s="6">
        <v>131.3</v>
      </c>
      <c r="D30" s="6">
        <v>160.1</v>
      </c>
      <c r="E30" s="6">
        <f t="shared" si="0"/>
        <v>291.4</v>
      </c>
      <c r="F30" s="15">
        <v>1</v>
      </c>
      <c r="G30" s="15">
        <v>3</v>
      </c>
      <c r="H30" s="15">
        <v>2</v>
      </c>
      <c r="I30" s="16">
        <f t="shared" si="1"/>
        <v>5</v>
      </c>
    </row>
    <row r="31" spans="1:9" ht="13.5" thickBot="1">
      <c r="A31" s="21">
        <v>24</v>
      </c>
      <c r="B31" s="3" t="s">
        <v>71</v>
      </c>
      <c r="C31" s="6">
        <v>606.73</v>
      </c>
      <c r="D31" s="6">
        <v>0</v>
      </c>
      <c r="E31" s="6">
        <f t="shared" si="0"/>
        <v>606.73</v>
      </c>
      <c r="F31" s="15">
        <v>1</v>
      </c>
      <c r="G31" s="15">
        <v>16</v>
      </c>
      <c r="H31" s="6">
        <v>0</v>
      </c>
      <c r="I31" s="16">
        <f t="shared" si="1"/>
        <v>16</v>
      </c>
    </row>
    <row r="32" spans="1:9" ht="12.75">
      <c r="A32" s="42">
        <v>25</v>
      </c>
      <c r="B32" s="3" t="s">
        <v>17</v>
      </c>
      <c r="C32" s="6">
        <v>144.31</v>
      </c>
      <c r="D32" s="6">
        <v>0</v>
      </c>
      <c r="E32" s="6">
        <f t="shared" si="0"/>
        <v>144.31</v>
      </c>
      <c r="F32" s="15">
        <v>1</v>
      </c>
      <c r="G32" s="15">
        <v>3</v>
      </c>
      <c r="H32" s="6">
        <v>0</v>
      </c>
      <c r="I32" s="16">
        <f t="shared" si="1"/>
        <v>3</v>
      </c>
    </row>
    <row r="33" spans="1:9" ht="12.75">
      <c r="A33" s="21">
        <v>26</v>
      </c>
      <c r="B33" s="3" t="s">
        <v>18</v>
      </c>
      <c r="C33" s="6">
        <v>1047.62</v>
      </c>
      <c r="D33" s="6">
        <v>0</v>
      </c>
      <c r="E33" s="6">
        <f t="shared" si="0"/>
        <v>1047.62</v>
      </c>
      <c r="F33" s="15">
        <v>1</v>
      </c>
      <c r="G33" s="15">
        <v>26</v>
      </c>
      <c r="H33" s="6">
        <v>0</v>
      </c>
      <c r="I33" s="16">
        <f t="shared" si="1"/>
        <v>26</v>
      </c>
    </row>
    <row r="34" spans="1:9" ht="12.75">
      <c r="A34" s="21">
        <v>27</v>
      </c>
      <c r="B34" s="3" t="s">
        <v>146</v>
      </c>
      <c r="C34" s="6">
        <v>228.1</v>
      </c>
      <c r="D34" s="6">
        <v>0</v>
      </c>
      <c r="E34" s="6">
        <f>C34+D34</f>
        <v>228.1</v>
      </c>
      <c r="F34" s="15">
        <v>1</v>
      </c>
      <c r="G34" s="15">
        <f>9-1</f>
        <v>8</v>
      </c>
      <c r="H34" s="6">
        <v>0</v>
      </c>
      <c r="I34" s="16">
        <f>SUM(G34:H34)</f>
        <v>8</v>
      </c>
    </row>
    <row r="35" spans="1:9" ht="12.75">
      <c r="A35" s="21">
        <v>28</v>
      </c>
      <c r="B35" s="3" t="s">
        <v>100</v>
      </c>
      <c r="C35" s="6">
        <v>144.62</v>
      </c>
      <c r="D35" s="6">
        <v>0</v>
      </c>
      <c r="E35" s="6">
        <f t="shared" si="0"/>
        <v>144.62</v>
      </c>
      <c r="F35" s="15">
        <v>1</v>
      </c>
      <c r="G35" s="15">
        <v>3</v>
      </c>
      <c r="H35" s="6">
        <v>0</v>
      </c>
      <c r="I35" s="16">
        <f t="shared" si="1"/>
        <v>3</v>
      </c>
    </row>
    <row r="36" spans="1:9" ht="12.75">
      <c r="A36" s="21">
        <v>29</v>
      </c>
      <c r="B36" s="3" t="s">
        <v>58</v>
      </c>
      <c r="C36" s="6">
        <v>623.14</v>
      </c>
      <c r="D36" s="6">
        <v>0</v>
      </c>
      <c r="E36" s="6">
        <f t="shared" si="0"/>
        <v>623.14</v>
      </c>
      <c r="F36" s="15">
        <v>1</v>
      </c>
      <c r="G36" s="15">
        <v>22</v>
      </c>
      <c r="H36" s="6">
        <v>0</v>
      </c>
      <c r="I36" s="16">
        <f t="shared" si="1"/>
        <v>22</v>
      </c>
    </row>
    <row r="37" spans="1:9" ht="12.75">
      <c r="A37" s="21">
        <v>30</v>
      </c>
      <c r="B37" s="3" t="s">
        <v>135</v>
      </c>
      <c r="C37" s="6">
        <v>968.85</v>
      </c>
      <c r="D37" s="6"/>
      <c r="E37" s="6">
        <v>968.85</v>
      </c>
      <c r="F37" s="15">
        <v>1</v>
      </c>
      <c r="G37" s="15">
        <v>22</v>
      </c>
      <c r="H37" s="6"/>
      <c r="I37" s="16">
        <v>22</v>
      </c>
    </row>
    <row r="38" spans="1:9" ht="12.75">
      <c r="A38" s="21">
        <v>31</v>
      </c>
      <c r="B38" s="3" t="s">
        <v>19</v>
      </c>
      <c r="C38" s="6">
        <v>365.4</v>
      </c>
      <c r="D38" s="6">
        <v>48.3</v>
      </c>
      <c r="E38" s="6">
        <f t="shared" si="0"/>
        <v>413.7</v>
      </c>
      <c r="F38" s="15">
        <v>1</v>
      </c>
      <c r="G38" s="15">
        <v>10</v>
      </c>
      <c r="H38" s="15">
        <v>1</v>
      </c>
      <c r="I38" s="16">
        <f t="shared" si="1"/>
        <v>11</v>
      </c>
    </row>
    <row r="39" spans="1:9" ht="13.5" thickBot="1">
      <c r="A39" s="21">
        <v>32</v>
      </c>
      <c r="B39" s="3" t="s">
        <v>134</v>
      </c>
      <c r="C39" s="6">
        <v>417.75</v>
      </c>
      <c r="D39" s="6">
        <v>0</v>
      </c>
      <c r="E39" s="6">
        <f t="shared" si="0"/>
        <v>417.75</v>
      </c>
      <c r="F39" s="15">
        <v>1</v>
      </c>
      <c r="G39" s="15">
        <v>16</v>
      </c>
      <c r="H39" s="6">
        <v>0</v>
      </c>
      <c r="I39" s="16">
        <f t="shared" si="1"/>
        <v>16</v>
      </c>
    </row>
    <row r="40" spans="1:9" ht="12.75">
      <c r="A40" s="42">
        <v>33</v>
      </c>
      <c r="B40" s="3" t="s">
        <v>20</v>
      </c>
      <c r="C40" s="6">
        <v>111.48</v>
      </c>
      <c r="D40" s="6">
        <v>0</v>
      </c>
      <c r="E40" s="6">
        <f t="shared" si="0"/>
        <v>111.48</v>
      </c>
      <c r="F40" s="15">
        <v>1</v>
      </c>
      <c r="G40" s="15">
        <v>2</v>
      </c>
      <c r="H40" s="6">
        <v>0</v>
      </c>
      <c r="I40" s="16">
        <f t="shared" si="1"/>
        <v>2</v>
      </c>
    </row>
    <row r="41" spans="1:9" ht="12.75">
      <c r="A41" s="21">
        <v>34</v>
      </c>
      <c r="B41" s="4" t="s">
        <v>109</v>
      </c>
      <c r="C41" s="6">
        <v>331.86</v>
      </c>
      <c r="D41" s="6">
        <v>0</v>
      </c>
      <c r="E41" s="6">
        <f t="shared" si="0"/>
        <v>331.86</v>
      </c>
      <c r="F41" s="15">
        <v>0.5</v>
      </c>
      <c r="G41" s="15">
        <v>9</v>
      </c>
      <c r="H41" s="6">
        <v>0</v>
      </c>
      <c r="I41" s="16">
        <f t="shared" si="1"/>
        <v>9</v>
      </c>
    </row>
    <row r="42" spans="1:9" ht="12.75">
      <c r="A42" s="21">
        <v>35</v>
      </c>
      <c r="B42" s="3" t="s">
        <v>27</v>
      </c>
      <c r="C42" s="6">
        <v>535.51</v>
      </c>
      <c r="D42" s="6">
        <v>0</v>
      </c>
      <c r="E42" s="6">
        <f t="shared" si="0"/>
        <v>535.51</v>
      </c>
      <c r="F42" s="15">
        <v>1</v>
      </c>
      <c r="G42" s="15">
        <v>16</v>
      </c>
      <c r="H42" s="6">
        <v>0</v>
      </c>
      <c r="I42" s="16">
        <f t="shared" si="1"/>
        <v>16</v>
      </c>
    </row>
    <row r="43" spans="1:9" ht="12.75">
      <c r="A43" s="21">
        <v>36</v>
      </c>
      <c r="B43" s="3" t="s">
        <v>28</v>
      </c>
      <c r="C43" s="6">
        <v>653</v>
      </c>
      <c r="D43" s="6">
        <v>0</v>
      </c>
      <c r="E43" s="6">
        <f t="shared" si="0"/>
        <v>653</v>
      </c>
      <c r="F43" s="15">
        <v>1</v>
      </c>
      <c r="G43" s="15">
        <v>20</v>
      </c>
      <c r="H43" s="6">
        <v>0</v>
      </c>
      <c r="I43" s="16">
        <f t="shared" si="1"/>
        <v>20</v>
      </c>
    </row>
    <row r="44" spans="1:9" ht="12.75">
      <c r="A44" s="21">
        <v>37</v>
      </c>
      <c r="B44" s="3" t="s">
        <v>99</v>
      </c>
      <c r="C44" s="6">
        <v>368.43</v>
      </c>
      <c r="D44" s="6">
        <v>70.3</v>
      </c>
      <c r="E44" s="6">
        <f t="shared" si="0"/>
        <v>438.73</v>
      </c>
      <c r="F44" s="15">
        <v>1</v>
      </c>
      <c r="G44" s="15">
        <v>11</v>
      </c>
      <c r="H44" s="15">
        <v>1</v>
      </c>
      <c r="I44" s="16">
        <f t="shared" si="1"/>
        <v>12</v>
      </c>
    </row>
    <row r="45" spans="1:9" ht="12.75">
      <c r="A45" s="21">
        <v>38</v>
      </c>
      <c r="B45" s="3" t="s">
        <v>21</v>
      </c>
      <c r="C45" s="6">
        <v>333.19</v>
      </c>
      <c r="D45" s="6">
        <v>0</v>
      </c>
      <c r="E45" s="6">
        <f t="shared" si="0"/>
        <v>333.19</v>
      </c>
      <c r="F45" s="15">
        <v>1</v>
      </c>
      <c r="G45" s="15">
        <v>9</v>
      </c>
      <c r="H45" s="6">
        <v>0</v>
      </c>
      <c r="I45" s="16">
        <f t="shared" si="1"/>
        <v>9</v>
      </c>
    </row>
    <row r="46" spans="1:9" ht="12.75">
      <c r="A46" s="21">
        <v>39</v>
      </c>
      <c r="B46" s="3" t="s">
        <v>23</v>
      </c>
      <c r="C46" s="6">
        <v>95.31</v>
      </c>
      <c r="D46" s="6">
        <v>0</v>
      </c>
      <c r="E46" s="6">
        <f t="shared" si="0"/>
        <v>95.31</v>
      </c>
      <c r="F46" s="15">
        <v>1</v>
      </c>
      <c r="G46" s="15">
        <v>2</v>
      </c>
      <c r="H46" s="6">
        <v>0</v>
      </c>
      <c r="I46" s="16">
        <f t="shared" si="1"/>
        <v>2</v>
      </c>
    </row>
    <row r="47" spans="1:9" ht="13.5" thickBot="1">
      <c r="A47" s="21">
        <v>40</v>
      </c>
      <c r="B47" s="3" t="s">
        <v>24</v>
      </c>
      <c r="C47" s="6">
        <v>317.88</v>
      </c>
      <c r="D47" s="6">
        <v>0</v>
      </c>
      <c r="E47" s="6">
        <f t="shared" si="0"/>
        <v>317.88</v>
      </c>
      <c r="F47" s="15">
        <v>1</v>
      </c>
      <c r="G47" s="15">
        <v>9</v>
      </c>
      <c r="H47" s="6">
        <v>0</v>
      </c>
      <c r="I47" s="16">
        <f t="shared" si="1"/>
        <v>9</v>
      </c>
    </row>
    <row r="48" spans="1:9" ht="12.75">
      <c r="A48" s="42">
        <v>41</v>
      </c>
      <c r="B48" s="3" t="s">
        <v>25</v>
      </c>
      <c r="C48" s="6">
        <v>529.14</v>
      </c>
      <c r="D48" s="6">
        <v>0</v>
      </c>
      <c r="E48" s="6">
        <f t="shared" si="0"/>
        <v>529.14</v>
      </c>
      <c r="F48" s="15">
        <v>1</v>
      </c>
      <c r="G48" s="15">
        <f>20-1+1</f>
        <v>20</v>
      </c>
      <c r="H48" s="6">
        <v>0</v>
      </c>
      <c r="I48" s="16">
        <f t="shared" si="1"/>
        <v>20</v>
      </c>
    </row>
    <row r="49" spans="1:9" ht="12.75">
      <c r="A49" s="21">
        <v>42</v>
      </c>
      <c r="B49" s="3" t="s">
        <v>133</v>
      </c>
      <c r="C49" s="6">
        <v>340.66</v>
      </c>
      <c r="D49" s="6">
        <v>0</v>
      </c>
      <c r="E49" s="6">
        <f t="shared" si="0"/>
        <v>340.66</v>
      </c>
      <c r="F49" s="15">
        <v>1</v>
      </c>
      <c r="G49" s="15">
        <v>10</v>
      </c>
      <c r="H49" s="6">
        <v>0</v>
      </c>
      <c r="I49" s="16">
        <f t="shared" si="1"/>
        <v>10</v>
      </c>
    </row>
    <row r="50" spans="1:9" ht="12.75">
      <c r="A50" s="21">
        <v>43</v>
      </c>
      <c r="B50" s="3" t="s">
        <v>26</v>
      </c>
      <c r="C50" s="6">
        <v>202.72</v>
      </c>
      <c r="D50" s="6">
        <v>0</v>
      </c>
      <c r="E50" s="6">
        <f t="shared" si="0"/>
        <v>202.72</v>
      </c>
      <c r="F50" s="15">
        <v>1</v>
      </c>
      <c r="G50" s="15">
        <v>5</v>
      </c>
      <c r="H50" s="6">
        <v>0</v>
      </c>
      <c r="I50" s="16">
        <f t="shared" si="1"/>
        <v>5</v>
      </c>
    </row>
    <row r="51" spans="1:9" ht="12.75">
      <c r="A51" s="21">
        <v>44</v>
      </c>
      <c r="B51" s="3" t="s">
        <v>44</v>
      </c>
      <c r="C51" s="6">
        <v>79.76</v>
      </c>
      <c r="D51" s="6">
        <v>0</v>
      </c>
      <c r="E51" s="6">
        <f t="shared" si="0"/>
        <v>79.76</v>
      </c>
      <c r="F51" s="15">
        <v>1</v>
      </c>
      <c r="G51" s="15">
        <v>2</v>
      </c>
      <c r="H51" s="6">
        <v>0</v>
      </c>
      <c r="I51" s="16">
        <f t="shared" si="1"/>
        <v>2</v>
      </c>
    </row>
    <row r="52" spans="1:9" ht="12.75">
      <c r="A52" s="21">
        <v>45</v>
      </c>
      <c r="B52" s="3" t="s">
        <v>45</v>
      </c>
      <c r="C52" s="6">
        <v>56.16</v>
      </c>
      <c r="D52" s="6">
        <v>0</v>
      </c>
      <c r="E52" s="6">
        <f t="shared" si="0"/>
        <v>56.16</v>
      </c>
      <c r="F52" s="15">
        <v>1</v>
      </c>
      <c r="G52" s="15">
        <v>1</v>
      </c>
      <c r="H52" s="6">
        <v>0</v>
      </c>
      <c r="I52" s="16">
        <f t="shared" si="1"/>
        <v>1</v>
      </c>
    </row>
    <row r="53" spans="1:9" ht="12.75">
      <c r="A53" s="21">
        <v>46</v>
      </c>
      <c r="B53" s="3" t="s">
        <v>46</v>
      </c>
      <c r="C53" s="6">
        <v>195.14</v>
      </c>
      <c r="D53" s="6">
        <v>0</v>
      </c>
      <c r="E53" s="6">
        <f t="shared" si="0"/>
        <v>195.14</v>
      </c>
      <c r="F53" s="15">
        <v>1</v>
      </c>
      <c r="G53" s="15">
        <v>5</v>
      </c>
      <c r="H53" s="6">
        <v>0</v>
      </c>
      <c r="I53" s="16">
        <f t="shared" si="1"/>
        <v>5</v>
      </c>
    </row>
    <row r="54" spans="1:9" ht="12.75">
      <c r="A54" s="21">
        <v>47</v>
      </c>
      <c r="B54" s="3" t="s">
        <v>47</v>
      </c>
      <c r="C54" s="6">
        <v>169.53</v>
      </c>
      <c r="D54" s="6">
        <v>0</v>
      </c>
      <c r="E54" s="6">
        <f t="shared" si="0"/>
        <v>169.53</v>
      </c>
      <c r="F54" s="15">
        <v>1</v>
      </c>
      <c r="G54" s="15">
        <v>6</v>
      </c>
      <c r="H54" s="6">
        <v>0</v>
      </c>
      <c r="I54" s="16">
        <f t="shared" si="1"/>
        <v>6</v>
      </c>
    </row>
    <row r="55" spans="1:9" ht="13.5" thickBot="1">
      <c r="A55" s="21">
        <v>48</v>
      </c>
      <c r="B55" s="3" t="s">
        <v>101</v>
      </c>
      <c r="C55" s="6">
        <v>175.15</v>
      </c>
      <c r="D55" s="6">
        <v>0</v>
      </c>
      <c r="E55" s="6">
        <f t="shared" si="0"/>
        <v>175.15</v>
      </c>
      <c r="F55" s="15">
        <v>1</v>
      </c>
      <c r="G55" s="15">
        <v>6</v>
      </c>
      <c r="H55" s="6">
        <v>0</v>
      </c>
      <c r="I55" s="16">
        <f t="shared" si="1"/>
        <v>6</v>
      </c>
    </row>
    <row r="56" spans="1:9" ht="12.75">
      <c r="A56" s="42">
        <v>49</v>
      </c>
      <c r="B56" s="3" t="s">
        <v>48</v>
      </c>
      <c r="C56" s="6">
        <v>303.53</v>
      </c>
      <c r="D56" s="6">
        <v>0</v>
      </c>
      <c r="E56" s="6">
        <f t="shared" si="0"/>
        <v>303.53</v>
      </c>
      <c r="F56" s="15">
        <v>1</v>
      </c>
      <c r="G56" s="15">
        <v>8</v>
      </c>
      <c r="H56" s="6">
        <v>0</v>
      </c>
      <c r="I56" s="16">
        <f t="shared" si="1"/>
        <v>8</v>
      </c>
    </row>
    <row r="57" spans="1:9" ht="12.75">
      <c r="A57" s="21">
        <v>50</v>
      </c>
      <c r="B57" s="3" t="s">
        <v>37</v>
      </c>
      <c r="C57" s="6">
        <f>488.16-3.97</f>
        <v>484.19</v>
      </c>
      <c r="D57" s="6">
        <v>0</v>
      </c>
      <c r="E57" s="6">
        <f t="shared" si="0"/>
        <v>484.19</v>
      </c>
      <c r="F57" s="15">
        <v>1</v>
      </c>
      <c r="G57" s="15">
        <f>16+1</f>
        <v>17</v>
      </c>
      <c r="H57" s="6">
        <v>0</v>
      </c>
      <c r="I57" s="16">
        <f t="shared" si="1"/>
        <v>17</v>
      </c>
    </row>
    <row r="58" spans="1:9" ht="12.75">
      <c r="A58" s="21">
        <v>51</v>
      </c>
      <c r="B58" s="3" t="s">
        <v>130</v>
      </c>
      <c r="C58" s="6">
        <v>426.8</v>
      </c>
      <c r="D58" s="6">
        <v>0</v>
      </c>
      <c r="E58" s="6">
        <f t="shared" si="0"/>
        <v>426.8</v>
      </c>
      <c r="F58" s="15">
        <v>1</v>
      </c>
      <c r="G58" s="15">
        <v>9</v>
      </c>
      <c r="H58" s="6">
        <v>0</v>
      </c>
      <c r="I58" s="16">
        <f t="shared" si="1"/>
        <v>9</v>
      </c>
    </row>
    <row r="59" spans="1:9" ht="12.75">
      <c r="A59" s="21">
        <v>52</v>
      </c>
      <c r="B59" s="3" t="s">
        <v>38</v>
      </c>
      <c r="C59" s="6">
        <v>387.81</v>
      </c>
      <c r="D59" s="6">
        <v>0</v>
      </c>
      <c r="E59" s="6">
        <f t="shared" si="0"/>
        <v>387.81</v>
      </c>
      <c r="F59" s="15">
        <v>1</v>
      </c>
      <c r="G59" s="15">
        <v>14</v>
      </c>
      <c r="H59" s="6">
        <v>0</v>
      </c>
      <c r="I59" s="16">
        <f t="shared" si="1"/>
        <v>14</v>
      </c>
    </row>
    <row r="60" spans="1:9" ht="12.75">
      <c r="A60" s="21">
        <v>53</v>
      </c>
      <c r="B60" s="3" t="s">
        <v>39</v>
      </c>
      <c r="C60" s="6">
        <v>170.62</v>
      </c>
      <c r="D60" s="6">
        <v>0</v>
      </c>
      <c r="E60" s="6">
        <f t="shared" si="0"/>
        <v>170.62</v>
      </c>
      <c r="F60" s="15">
        <v>1</v>
      </c>
      <c r="G60" s="15">
        <v>5</v>
      </c>
      <c r="H60" s="6">
        <v>0</v>
      </c>
      <c r="I60" s="16">
        <f t="shared" si="1"/>
        <v>5</v>
      </c>
    </row>
    <row r="61" spans="1:9" ht="12.75">
      <c r="A61" s="21">
        <v>54</v>
      </c>
      <c r="B61" s="3" t="s">
        <v>40</v>
      </c>
      <c r="C61" s="6">
        <v>321.62</v>
      </c>
      <c r="D61" s="6">
        <v>0</v>
      </c>
      <c r="E61" s="6">
        <f t="shared" si="0"/>
        <v>321.62</v>
      </c>
      <c r="F61" s="15">
        <v>1</v>
      </c>
      <c r="G61" s="15">
        <v>10</v>
      </c>
      <c r="H61" s="6">
        <v>0</v>
      </c>
      <c r="I61" s="16">
        <f t="shared" si="1"/>
        <v>10</v>
      </c>
    </row>
    <row r="62" spans="1:9" ht="12.75">
      <c r="A62" s="21">
        <v>55</v>
      </c>
      <c r="B62" s="3" t="s">
        <v>41</v>
      </c>
      <c r="C62" s="6">
        <v>156.61</v>
      </c>
      <c r="D62" s="6">
        <v>0</v>
      </c>
      <c r="E62" s="6">
        <f t="shared" si="0"/>
        <v>156.61</v>
      </c>
      <c r="F62" s="15">
        <v>1</v>
      </c>
      <c r="G62" s="15">
        <v>5</v>
      </c>
      <c r="H62" s="6">
        <v>0</v>
      </c>
      <c r="I62" s="16">
        <f t="shared" si="1"/>
        <v>5</v>
      </c>
    </row>
    <row r="63" spans="1:9" ht="13.5" thickBot="1">
      <c r="A63" s="21">
        <v>56</v>
      </c>
      <c r="B63" s="3" t="s">
        <v>42</v>
      </c>
      <c r="C63" s="6">
        <v>115.62</v>
      </c>
      <c r="D63" s="6">
        <v>0</v>
      </c>
      <c r="E63" s="6">
        <f t="shared" si="0"/>
        <v>115.62</v>
      </c>
      <c r="F63" s="15">
        <v>1</v>
      </c>
      <c r="G63" s="15">
        <v>5</v>
      </c>
      <c r="H63" s="6">
        <v>0</v>
      </c>
      <c r="I63" s="16">
        <f t="shared" si="1"/>
        <v>5</v>
      </c>
    </row>
    <row r="64" spans="1:9" ht="12.75">
      <c r="A64" s="42">
        <v>57</v>
      </c>
      <c r="B64" s="3" t="s">
        <v>43</v>
      </c>
      <c r="C64" s="6">
        <v>32.89</v>
      </c>
      <c r="D64" s="6">
        <v>0</v>
      </c>
      <c r="E64" s="6">
        <f t="shared" si="0"/>
        <v>32.89</v>
      </c>
      <c r="F64" s="15">
        <v>1</v>
      </c>
      <c r="G64" s="15">
        <v>1</v>
      </c>
      <c r="H64" s="6">
        <v>0</v>
      </c>
      <c r="I64" s="16">
        <f t="shared" si="1"/>
        <v>1</v>
      </c>
    </row>
    <row r="65" spans="1:9" ht="12.75">
      <c r="A65" s="21">
        <v>58</v>
      </c>
      <c r="B65" s="3" t="s">
        <v>43</v>
      </c>
      <c r="C65" s="6">
        <v>79.33</v>
      </c>
      <c r="D65" s="6">
        <v>0</v>
      </c>
      <c r="E65" s="6">
        <f t="shared" si="0"/>
        <v>79.33</v>
      </c>
      <c r="F65" s="15">
        <v>1</v>
      </c>
      <c r="G65" s="15">
        <v>2</v>
      </c>
      <c r="H65" s="6">
        <v>0</v>
      </c>
      <c r="I65" s="16">
        <f t="shared" si="1"/>
        <v>2</v>
      </c>
    </row>
    <row r="66" spans="1:9" ht="12.75">
      <c r="A66" s="21">
        <v>59</v>
      </c>
      <c r="B66" s="3" t="s">
        <v>80</v>
      </c>
      <c r="C66" s="6">
        <v>218.27</v>
      </c>
      <c r="D66" s="6">
        <v>0</v>
      </c>
      <c r="E66" s="6">
        <f t="shared" si="0"/>
        <v>218.27</v>
      </c>
      <c r="F66" s="15">
        <v>1</v>
      </c>
      <c r="G66" s="15">
        <v>6</v>
      </c>
      <c r="H66" s="6">
        <v>0</v>
      </c>
      <c r="I66" s="16">
        <f t="shared" si="1"/>
        <v>6</v>
      </c>
    </row>
    <row r="67" spans="1:9" ht="12.75">
      <c r="A67" s="21">
        <v>60</v>
      </c>
      <c r="B67" s="3" t="s">
        <v>81</v>
      </c>
      <c r="C67" s="6">
        <f>266.38-6.53</f>
        <v>259.85</v>
      </c>
      <c r="D67" s="6">
        <v>0</v>
      </c>
      <c r="E67" s="6">
        <f t="shared" si="0"/>
        <v>259.85</v>
      </c>
      <c r="F67" s="15">
        <v>1</v>
      </c>
      <c r="G67" s="15">
        <v>11</v>
      </c>
      <c r="H67" s="6">
        <v>0</v>
      </c>
      <c r="I67" s="16">
        <f t="shared" si="1"/>
        <v>11</v>
      </c>
    </row>
    <row r="68" spans="1:9" ht="12.75">
      <c r="A68" s="21">
        <v>61</v>
      </c>
      <c r="B68" s="3" t="s">
        <v>82</v>
      </c>
      <c r="C68" s="6">
        <f>211.31+21.67</f>
        <v>232.98000000000002</v>
      </c>
      <c r="D68" s="6">
        <v>0</v>
      </c>
      <c r="E68" s="6">
        <f t="shared" si="0"/>
        <v>232.98000000000002</v>
      </c>
      <c r="F68" s="15">
        <v>1</v>
      </c>
      <c r="G68" s="15">
        <v>6</v>
      </c>
      <c r="H68" s="6">
        <v>0</v>
      </c>
      <c r="I68" s="16">
        <f t="shared" si="1"/>
        <v>6</v>
      </c>
    </row>
    <row r="69" spans="1:9" ht="12.75">
      <c r="A69" s="21">
        <v>62</v>
      </c>
      <c r="B69" s="3" t="s">
        <v>83</v>
      </c>
      <c r="C69" s="6">
        <v>198.73</v>
      </c>
      <c r="D69" s="6">
        <v>0</v>
      </c>
      <c r="E69" s="6">
        <f t="shared" si="0"/>
        <v>198.73</v>
      </c>
      <c r="F69" s="15">
        <v>1</v>
      </c>
      <c r="G69" s="15">
        <v>6</v>
      </c>
      <c r="H69" s="6">
        <v>0</v>
      </c>
      <c r="I69" s="16">
        <f aca="true" t="shared" si="2" ref="I69:I121">SUM(G69:H69)</f>
        <v>6</v>
      </c>
    </row>
    <row r="70" spans="1:9" ht="12.75">
      <c r="A70" s="21">
        <v>63</v>
      </c>
      <c r="B70" s="3" t="s">
        <v>70</v>
      </c>
      <c r="C70" s="6">
        <f>254.92-4.94</f>
        <v>249.98</v>
      </c>
      <c r="D70" s="6">
        <v>41.63</v>
      </c>
      <c r="E70" s="6">
        <f aca="true" t="shared" si="3" ref="E70:E120">C70+D70</f>
        <v>291.61</v>
      </c>
      <c r="F70" s="15">
        <v>1</v>
      </c>
      <c r="G70" s="15">
        <v>7</v>
      </c>
      <c r="H70" s="15">
        <v>1</v>
      </c>
      <c r="I70" s="16">
        <f t="shared" si="2"/>
        <v>8</v>
      </c>
    </row>
    <row r="71" spans="1:9" ht="13.5" thickBot="1">
      <c r="A71" s="21">
        <v>64</v>
      </c>
      <c r="B71" s="3" t="s">
        <v>59</v>
      </c>
      <c r="C71" s="6">
        <f>397.9+14.78+13.95</f>
        <v>426.62999999999994</v>
      </c>
      <c r="D71" s="6">
        <v>0</v>
      </c>
      <c r="E71" s="6">
        <f t="shared" si="3"/>
        <v>426.62999999999994</v>
      </c>
      <c r="F71" s="15">
        <v>1</v>
      </c>
      <c r="G71" s="15">
        <v>8</v>
      </c>
      <c r="H71" s="6">
        <v>0</v>
      </c>
      <c r="I71" s="16">
        <f t="shared" si="2"/>
        <v>8</v>
      </c>
    </row>
    <row r="72" spans="1:9" ht="12.75">
      <c r="A72" s="42">
        <v>65</v>
      </c>
      <c r="B72" s="3" t="s">
        <v>97</v>
      </c>
      <c r="C72" s="6">
        <v>192.9</v>
      </c>
      <c r="D72" s="6">
        <v>0</v>
      </c>
      <c r="E72" s="6">
        <f t="shared" si="3"/>
        <v>192.9</v>
      </c>
      <c r="F72" s="15">
        <v>1</v>
      </c>
      <c r="G72" s="15">
        <v>6</v>
      </c>
      <c r="H72" s="6">
        <v>0</v>
      </c>
      <c r="I72" s="16">
        <f t="shared" si="2"/>
        <v>6</v>
      </c>
    </row>
    <row r="73" spans="1:9" ht="12.75">
      <c r="A73" s="21">
        <v>66</v>
      </c>
      <c r="B73" s="3" t="s">
        <v>145</v>
      </c>
      <c r="C73" s="6">
        <v>417.66</v>
      </c>
      <c r="D73" s="6">
        <v>0</v>
      </c>
      <c r="E73" s="6">
        <f t="shared" si="3"/>
        <v>417.66</v>
      </c>
      <c r="F73" s="15">
        <v>1</v>
      </c>
      <c r="G73" s="15">
        <v>13</v>
      </c>
      <c r="H73" s="6">
        <v>0</v>
      </c>
      <c r="I73" s="16">
        <f t="shared" si="2"/>
        <v>13</v>
      </c>
    </row>
    <row r="74" spans="1:9" ht="12.75">
      <c r="A74" s="21">
        <v>67</v>
      </c>
      <c r="B74" s="3" t="s">
        <v>74</v>
      </c>
      <c r="C74" s="6">
        <v>394.51</v>
      </c>
      <c r="D74" s="6">
        <v>0</v>
      </c>
      <c r="E74" s="6">
        <f t="shared" si="3"/>
        <v>394.51</v>
      </c>
      <c r="F74" s="15">
        <v>1</v>
      </c>
      <c r="G74" s="15">
        <v>10</v>
      </c>
      <c r="H74" s="6">
        <v>0</v>
      </c>
      <c r="I74" s="16">
        <f t="shared" si="2"/>
        <v>10</v>
      </c>
    </row>
    <row r="75" spans="1:9" ht="12.75">
      <c r="A75" s="21">
        <v>68</v>
      </c>
      <c r="B75" s="3" t="s">
        <v>79</v>
      </c>
      <c r="C75" s="6">
        <v>439.18</v>
      </c>
      <c r="D75" s="6">
        <v>0</v>
      </c>
      <c r="E75" s="6">
        <f t="shared" si="3"/>
        <v>439.18</v>
      </c>
      <c r="F75" s="15">
        <v>1</v>
      </c>
      <c r="G75" s="15">
        <v>9</v>
      </c>
      <c r="H75" s="6">
        <v>0</v>
      </c>
      <c r="I75" s="16">
        <f t="shared" si="2"/>
        <v>9</v>
      </c>
    </row>
    <row r="76" spans="1:9" ht="12.75">
      <c r="A76" s="21">
        <v>69</v>
      </c>
      <c r="B76" s="3" t="s">
        <v>75</v>
      </c>
      <c r="C76" s="6">
        <v>137.7</v>
      </c>
      <c r="D76" s="6">
        <v>16.8</v>
      </c>
      <c r="E76" s="6">
        <f t="shared" si="3"/>
        <v>154.5</v>
      </c>
      <c r="F76" s="15">
        <v>1</v>
      </c>
      <c r="G76" s="15">
        <v>4</v>
      </c>
      <c r="H76" s="15">
        <v>1</v>
      </c>
      <c r="I76" s="16">
        <f t="shared" si="2"/>
        <v>5</v>
      </c>
    </row>
    <row r="77" spans="1:9" ht="12.75">
      <c r="A77" s="21">
        <v>70</v>
      </c>
      <c r="B77" s="3" t="s">
        <v>33</v>
      </c>
      <c r="C77" s="6">
        <v>99.3</v>
      </c>
      <c r="D77" s="6">
        <v>0</v>
      </c>
      <c r="E77" s="6">
        <f t="shared" si="3"/>
        <v>99.3</v>
      </c>
      <c r="F77" s="15">
        <v>1</v>
      </c>
      <c r="G77" s="15">
        <v>4</v>
      </c>
      <c r="H77" s="6">
        <v>0</v>
      </c>
      <c r="I77" s="16">
        <f t="shared" si="2"/>
        <v>4</v>
      </c>
    </row>
    <row r="78" spans="1:9" ht="12.75">
      <c r="A78" s="21">
        <v>71</v>
      </c>
      <c r="B78" s="3" t="s">
        <v>34</v>
      </c>
      <c r="C78" s="6">
        <v>41.08</v>
      </c>
      <c r="D78" s="6">
        <v>0</v>
      </c>
      <c r="E78" s="6">
        <f t="shared" si="3"/>
        <v>41.08</v>
      </c>
      <c r="F78" s="15">
        <v>1</v>
      </c>
      <c r="G78" s="15">
        <v>1</v>
      </c>
      <c r="H78" s="6">
        <v>0</v>
      </c>
      <c r="I78" s="16">
        <f t="shared" si="2"/>
        <v>1</v>
      </c>
    </row>
    <row r="79" spans="1:9" ht="13.5" thickBot="1">
      <c r="A79" s="21">
        <v>72</v>
      </c>
      <c r="B79" s="3" t="s">
        <v>60</v>
      </c>
      <c r="C79" s="6">
        <v>80.07</v>
      </c>
      <c r="D79" s="6">
        <v>0</v>
      </c>
      <c r="E79" s="6">
        <f t="shared" si="3"/>
        <v>80.07</v>
      </c>
      <c r="F79" s="15">
        <v>1</v>
      </c>
      <c r="G79" s="15">
        <v>2</v>
      </c>
      <c r="H79" s="6">
        <v>0</v>
      </c>
      <c r="I79" s="16">
        <f t="shared" si="2"/>
        <v>2</v>
      </c>
    </row>
    <row r="80" spans="1:9" ht="12.75">
      <c r="A80" s="42">
        <v>73</v>
      </c>
      <c r="B80" s="3" t="s">
        <v>61</v>
      </c>
      <c r="C80" s="6">
        <v>255.31</v>
      </c>
      <c r="D80" s="6">
        <v>0</v>
      </c>
      <c r="E80" s="6">
        <f t="shared" si="3"/>
        <v>255.31</v>
      </c>
      <c r="F80" s="15">
        <v>1</v>
      </c>
      <c r="G80" s="15">
        <v>6</v>
      </c>
      <c r="H80" s="6">
        <v>0</v>
      </c>
      <c r="I80" s="16">
        <f t="shared" si="2"/>
        <v>6</v>
      </c>
    </row>
    <row r="81" spans="1:9" ht="12.75">
      <c r="A81" s="21">
        <v>74</v>
      </c>
      <c r="B81" s="3" t="s">
        <v>35</v>
      </c>
      <c r="C81" s="6">
        <v>62.76</v>
      </c>
      <c r="D81" s="6">
        <v>0</v>
      </c>
      <c r="E81" s="6">
        <f t="shared" si="3"/>
        <v>62.76</v>
      </c>
      <c r="F81" s="15">
        <v>1</v>
      </c>
      <c r="G81" s="15">
        <v>2</v>
      </c>
      <c r="H81" s="6">
        <v>0</v>
      </c>
      <c r="I81" s="16">
        <f t="shared" si="2"/>
        <v>2</v>
      </c>
    </row>
    <row r="82" spans="1:9" ht="12.75">
      <c r="A82" s="21">
        <v>75</v>
      </c>
      <c r="B82" s="3" t="s">
        <v>62</v>
      </c>
      <c r="C82" s="6">
        <v>128.18</v>
      </c>
      <c r="D82" s="6">
        <v>0</v>
      </c>
      <c r="E82" s="6">
        <f t="shared" si="3"/>
        <v>128.18</v>
      </c>
      <c r="F82" s="15">
        <v>1</v>
      </c>
      <c r="G82" s="15">
        <v>4</v>
      </c>
      <c r="H82" s="6">
        <v>0</v>
      </c>
      <c r="I82" s="16">
        <f t="shared" si="2"/>
        <v>4</v>
      </c>
    </row>
    <row r="83" spans="1:9" ht="12.75">
      <c r="A83" s="21">
        <v>76</v>
      </c>
      <c r="B83" s="3" t="s">
        <v>72</v>
      </c>
      <c r="C83" s="6">
        <f>248.15+0.96+1.6</f>
        <v>250.71</v>
      </c>
      <c r="D83" s="6">
        <v>107.64</v>
      </c>
      <c r="E83" s="6">
        <f t="shared" si="3"/>
        <v>358.35</v>
      </c>
      <c r="F83" s="15">
        <v>1</v>
      </c>
      <c r="G83" s="15">
        <f>8-1-1</f>
        <v>6</v>
      </c>
      <c r="H83" s="15">
        <v>3</v>
      </c>
      <c r="I83" s="16">
        <f t="shared" si="2"/>
        <v>9</v>
      </c>
    </row>
    <row r="84" spans="1:9" ht="12.75">
      <c r="A84" s="21">
        <v>77</v>
      </c>
      <c r="B84" s="3" t="s">
        <v>50</v>
      </c>
      <c r="C84" s="6">
        <v>398.38</v>
      </c>
      <c r="D84" s="6">
        <v>0</v>
      </c>
      <c r="E84" s="6">
        <f t="shared" si="3"/>
        <v>398.38</v>
      </c>
      <c r="F84" s="15">
        <v>1</v>
      </c>
      <c r="G84" s="15">
        <v>12</v>
      </c>
      <c r="H84" s="6">
        <v>0</v>
      </c>
      <c r="I84" s="16">
        <f t="shared" si="2"/>
        <v>12</v>
      </c>
    </row>
    <row r="85" spans="1:9" ht="12.75">
      <c r="A85" s="21">
        <v>78</v>
      </c>
      <c r="B85" s="3" t="s">
        <v>104</v>
      </c>
      <c r="C85" s="6">
        <f>144.26-1.34</f>
        <v>142.92</v>
      </c>
      <c r="D85" s="6">
        <v>96.86</v>
      </c>
      <c r="E85" s="6">
        <f t="shared" si="3"/>
        <v>239.77999999999997</v>
      </c>
      <c r="F85" s="15">
        <v>1</v>
      </c>
      <c r="G85" s="15">
        <v>4</v>
      </c>
      <c r="H85" s="15">
        <v>1</v>
      </c>
      <c r="I85" s="16">
        <f t="shared" si="2"/>
        <v>5</v>
      </c>
    </row>
    <row r="86" spans="1:9" ht="12.75">
      <c r="A86" s="21">
        <v>79</v>
      </c>
      <c r="B86" s="3" t="s">
        <v>76</v>
      </c>
      <c r="C86" s="6">
        <v>81.17</v>
      </c>
      <c r="D86" s="6">
        <v>56.28</v>
      </c>
      <c r="E86" s="6">
        <f t="shared" si="3"/>
        <v>137.45</v>
      </c>
      <c r="F86" s="15">
        <v>0.3</v>
      </c>
      <c r="G86" s="15">
        <v>3</v>
      </c>
      <c r="H86" s="35">
        <v>1</v>
      </c>
      <c r="I86" s="16">
        <f t="shared" si="2"/>
        <v>4</v>
      </c>
    </row>
    <row r="87" spans="1:9" ht="13.5" thickBot="1">
      <c r="A87" s="21">
        <v>80</v>
      </c>
      <c r="B87" s="3" t="s">
        <v>32</v>
      </c>
      <c r="C87" s="6">
        <v>80</v>
      </c>
      <c r="D87" s="6">
        <v>0</v>
      </c>
      <c r="E87" s="6">
        <f t="shared" si="3"/>
        <v>80</v>
      </c>
      <c r="F87" s="15">
        <v>1</v>
      </c>
      <c r="G87" s="15">
        <v>2</v>
      </c>
      <c r="H87" s="6">
        <v>0</v>
      </c>
      <c r="I87" s="16">
        <f t="shared" si="2"/>
        <v>2</v>
      </c>
    </row>
    <row r="88" spans="1:9" ht="12.75">
      <c r="A88" s="42">
        <v>81</v>
      </c>
      <c r="B88" s="3" t="s">
        <v>150</v>
      </c>
      <c r="C88" s="6">
        <f>100.6+20</f>
        <v>120.6</v>
      </c>
      <c r="D88" s="6">
        <f>2271.15-20</f>
        <v>2251.15</v>
      </c>
      <c r="E88" s="6">
        <f t="shared" si="3"/>
        <v>2371.75</v>
      </c>
      <c r="F88" s="15">
        <v>1</v>
      </c>
      <c r="G88" s="15">
        <f>2+1</f>
        <v>3</v>
      </c>
      <c r="H88" s="30">
        <v>6</v>
      </c>
      <c r="I88" s="16">
        <v>9</v>
      </c>
    </row>
    <row r="89" spans="1:9" ht="12.75">
      <c r="A89" s="21">
        <v>82</v>
      </c>
      <c r="B89" s="3" t="s">
        <v>36</v>
      </c>
      <c r="C89" s="6">
        <v>447.99</v>
      </c>
      <c r="D89" s="6">
        <v>0</v>
      </c>
      <c r="E89" s="6">
        <f t="shared" si="3"/>
        <v>447.99</v>
      </c>
      <c r="F89" s="15">
        <v>1</v>
      </c>
      <c r="G89" s="15">
        <v>20</v>
      </c>
      <c r="H89" s="6">
        <v>0</v>
      </c>
      <c r="I89" s="16">
        <f t="shared" si="2"/>
        <v>20</v>
      </c>
    </row>
    <row r="90" spans="1:9" ht="12.75">
      <c r="A90" s="21">
        <v>83</v>
      </c>
      <c r="B90" s="3" t="s">
        <v>98</v>
      </c>
      <c r="C90" s="6">
        <v>38.32</v>
      </c>
      <c r="D90" s="6">
        <v>0</v>
      </c>
      <c r="E90" s="6">
        <f t="shared" si="3"/>
        <v>38.32</v>
      </c>
      <c r="F90" s="15">
        <v>1</v>
      </c>
      <c r="G90" s="15">
        <v>1</v>
      </c>
      <c r="H90" s="6">
        <v>0</v>
      </c>
      <c r="I90" s="16">
        <f t="shared" si="2"/>
        <v>1</v>
      </c>
    </row>
    <row r="91" spans="1:9" ht="12.75">
      <c r="A91" s="21">
        <v>84</v>
      </c>
      <c r="B91" s="3" t="s">
        <v>105</v>
      </c>
      <c r="C91" s="6">
        <v>293.65</v>
      </c>
      <c r="D91" s="6">
        <v>0</v>
      </c>
      <c r="E91" s="6">
        <f t="shared" si="3"/>
        <v>293.65</v>
      </c>
      <c r="F91" s="15">
        <v>1</v>
      </c>
      <c r="G91" s="35">
        <v>12</v>
      </c>
      <c r="H91" s="6">
        <v>0</v>
      </c>
      <c r="I91" s="16">
        <f t="shared" si="2"/>
        <v>12</v>
      </c>
    </row>
    <row r="92" spans="1:9" ht="12.75">
      <c r="A92" s="21">
        <v>85</v>
      </c>
      <c r="B92" s="3" t="s">
        <v>69</v>
      </c>
      <c r="C92" s="6">
        <v>378.48</v>
      </c>
      <c r="D92" s="6">
        <v>216.51</v>
      </c>
      <c r="E92" s="6">
        <f t="shared" si="3"/>
        <v>594.99</v>
      </c>
      <c r="F92" s="15">
        <v>1</v>
      </c>
      <c r="G92" s="15">
        <v>10</v>
      </c>
      <c r="H92" s="15">
        <v>4</v>
      </c>
      <c r="I92" s="16">
        <f t="shared" si="2"/>
        <v>14</v>
      </c>
    </row>
    <row r="93" spans="1:9" ht="12.75">
      <c r="A93" s="21">
        <v>86</v>
      </c>
      <c r="B93" s="3" t="s">
        <v>73</v>
      </c>
      <c r="C93" s="6">
        <v>81.95</v>
      </c>
      <c r="D93" s="6">
        <v>0</v>
      </c>
      <c r="E93" s="6">
        <f t="shared" si="3"/>
        <v>81.95</v>
      </c>
      <c r="F93" s="15">
        <v>1</v>
      </c>
      <c r="G93" s="15">
        <v>2</v>
      </c>
      <c r="H93" s="6">
        <v>0</v>
      </c>
      <c r="I93" s="16">
        <f t="shared" si="2"/>
        <v>2</v>
      </c>
    </row>
    <row r="94" spans="1:10" ht="12.75">
      <c r="A94" s="21">
        <v>87</v>
      </c>
      <c r="B94" s="34" t="s">
        <v>131</v>
      </c>
      <c r="C94" s="32">
        <v>44.24</v>
      </c>
      <c r="D94" s="6">
        <v>0</v>
      </c>
      <c r="E94" s="32">
        <f>SUM(C94:D94)</f>
        <v>44.24</v>
      </c>
      <c r="F94" s="15">
        <v>1</v>
      </c>
      <c r="G94" s="15">
        <v>1</v>
      </c>
      <c r="H94" s="6">
        <v>0</v>
      </c>
      <c r="I94" s="16">
        <f t="shared" si="2"/>
        <v>1</v>
      </c>
      <c r="J94" s="33"/>
    </row>
    <row r="95" spans="1:10" ht="13.5" thickBot="1">
      <c r="A95" s="21">
        <v>88</v>
      </c>
      <c r="B95" s="34" t="s">
        <v>132</v>
      </c>
      <c r="C95" s="32">
        <f>457.46+45.78</f>
        <v>503.24</v>
      </c>
      <c r="D95" s="32">
        <v>0</v>
      </c>
      <c r="E95" s="32">
        <f>SUM(C95:D95)</f>
        <v>503.24</v>
      </c>
      <c r="F95" s="15">
        <v>1</v>
      </c>
      <c r="G95" s="30">
        <v>13</v>
      </c>
      <c r="H95" s="6">
        <v>0</v>
      </c>
      <c r="I95" s="16">
        <f t="shared" si="2"/>
        <v>13</v>
      </c>
      <c r="J95" s="33"/>
    </row>
    <row r="96" spans="1:9" ht="12.75">
      <c r="A96" s="42">
        <v>89</v>
      </c>
      <c r="B96" s="3" t="s">
        <v>65</v>
      </c>
      <c r="C96" s="6">
        <v>231.22</v>
      </c>
      <c r="D96" s="6">
        <v>0</v>
      </c>
      <c r="E96" s="6">
        <f t="shared" si="3"/>
        <v>231.22</v>
      </c>
      <c r="F96" s="15">
        <v>1</v>
      </c>
      <c r="G96" s="15">
        <v>6</v>
      </c>
      <c r="H96" s="6">
        <v>0</v>
      </c>
      <c r="I96" s="16">
        <f t="shared" si="2"/>
        <v>6</v>
      </c>
    </row>
    <row r="97" spans="1:9" ht="12.75">
      <c r="A97" s="21">
        <v>90</v>
      </c>
      <c r="B97" s="3" t="s">
        <v>63</v>
      </c>
      <c r="C97" s="6">
        <v>124.73</v>
      </c>
      <c r="D97" s="6">
        <v>0</v>
      </c>
      <c r="E97" s="6">
        <f t="shared" si="3"/>
        <v>124.73</v>
      </c>
      <c r="F97" s="15">
        <v>1</v>
      </c>
      <c r="G97" s="15">
        <v>6</v>
      </c>
      <c r="H97" s="6">
        <v>0</v>
      </c>
      <c r="I97" s="16">
        <f t="shared" si="2"/>
        <v>6</v>
      </c>
    </row>
    <row r="98" spans="1:9" ht="12.75">
      <c r="A98" s="21">
        <v>91</v>
      </c>
      <c r="B98" s="3" t="s">
        <v>64</v>
      </c>
      <c r="C98" s="6">
        <v>30.42</v>
      </c>
      <c r="D98" s="6">
        <v>0</v>
      </c>
      <c r="E98" s="6">
        <f t="shared" si="3"/>
        <v>30.42</v>
      </c>
      <c r="F98" s="15">
        <v>1</v>
      </c>
      <c r="G98" s="15">
        <v>1</v>
      </c>
      <c r="H98" s="6">
        <v>0</v>
      </c>
      <c r="I98" s="16">
        <f t="shared" si="2"/>
        <v>1</v>
      </c>
    </row>
    <row r="99" spans="1:9" ht="12.75">
      <c r="A99" s="21">
        <v>92</v>
      </c>
      <c r="B99" s="3" t="s">
        <v>65</v>
      </c>
      <c r="C99" s="6">
        <v>127.83</v>
      </c>
      <c r="D99" s="6">
        <v>43.03</v>
      </c>
      <c r="E99" s="6">
        <f t="shared" si="3"/>
        <v>170.86</v>
      </c>
      <c r="F99" s="15">
        <v>1</v>
      </c>
      <c r="G99" s="15">
        <v>5</v>
      </c>
      <c r="H99" s="15">
        <v>1</v>
      </c>
      <c r="I99" s="16">
        <f t="shared" si="2"/>
        <v>6</v>
      </c>
    </row>
    <row r="100" spans="1:9" ht="12.75">
      <c r="A100" s="21">
        <v>93</v>
      </c>
      <c r="B100" s="3" t="s">
        <v>56</v>
      </c>
      <c r="C100" s="6">
        <v>83.77</v>
      </c>
      <c r="D100" s="6">
        <v>0</v>
      </c>
      <c r="E100" s="6">
        <f t="shared" si="3"/>
        <v>83.77</v>
      </c>
      <c r="F100" s="15">
        <v>1</v>
      </c>
      <c r="G100" s="15">
        <v>3</v>
      </c>
      <c r="H100" s="6">
        <v>0</v>
      </c>
      <c r="I100" s="16">
        <f t="shared" si="2"/>
        <v>3</v>
      </c>
    </row>
    <row r="101" spans="1:9" ht="12.75">
      <c r="A101" s="21">
        <v>94</v>
      </c>
      <c r="B101" s="3" t="s">
        <v>57</v>
      </c>
      <c r="C101" s="6">
        <v>73.86</v>
      </c>
      <c r="D101" s="6">
        <v>0</v>
      </c>
      <c r="E101" s="6">
        <f t="shared" si="3"/>
        <v>73.86</v>
      </c>
      <c r="F101" s="15">
        <v>1</v>
      </c>
      <c r="G101" s="15">
        <v>2</v>
      </c>
      <c r="H101" s="6">
        <v>0</v>
      </c>
      <c r="I101" s="16">
        <f t="shared" si="2"/>
        <v>2</v>
      </c>
    </row>
    <row r="102" spans="1:9" ht="12.75">
      <c r="A102" s="21">
        <v>95</v>
      </c>
      <c r="B102" s="3" t="s">
        <v>111</v>
      </c>
      <c r="C102" s="7">
        <f>401.08-16.78</f>
        <v>384.29999999999995</v>
      </c>
      <c r="D102" s="7">
        <v>0</v>
      </c>
      <c r="E102" s="6">
        <f t="shared" si="3"/>
        <v>384.29999999999995</v>
      </c>
      <c r="F102" s="15">
        <v>1</v>
      </c>
      <c r="G102" s="15">
        <f>14-3</f>
        <v>11</v>
      </c>
      <c r="H102" s="6">
        <v>0</v>
      </c>
      <c r="I102" s="16">
        <v>11</v>
      </c>
    </row>
    <row r="103" spans="1:9" ht="13.5" thickBot="1">
      <c r="A103" s="21">
        <v>96</v>
      </c>
      <c r="B103" s="43" t="s">
        <v>106</v>
      </c>
      <c r="C103" s="36">
        <v>43.9</v>
      </c>
      <c r="D103" s="36">
        <v>0</v>
      </c>
      <c r="E103" s="36">
        <f t="shared" si="3"/>
        <v>43.9</v>
      </c>
      <c r="F103" s="35">
        <v>1</v>
      </c>
      <c r="G103" s="35">
        <v>1</v>
      </c>
      <c r="H103" s="6">
        <v>0</v>
      </c>
      <c r="I103" s="44">
        <f t="shared" si="2"/>
        <v>1</v>
      </c>
    </row>
    <row r="104" spans="1:9" ht="12.75">
      <c r="A104" s="42">
        <v>97</v>
      </c>
      <c r="B104" s="3" t="s">
        <v>3</v>
      </c>
      <c r="C104" s="36">
        <f>1021.33+0.01</f>
        <v>1021.34</v>
      </c>
      <c r="D104" s="6">
        <v>50.2</v>
      </c>
      <c r="E104" s="6">
        <f t="shared" si="3"/>
        <v>1071.54</v>
      </c>
      <c r="F104" s="15">
        <v>1</v>
      </c>
      <c r="G104" s="15">
        <v>31</v>
      </c>
      <c r="H104" s="15">
        <v>1</v>
      </c>
      <c r="I104" s="16">
        <f t="shared" si="2"/>
        <v>32</v>
      </c>
    </row>
    <row r="105" spans="1:9" ht="12.75">
      <c r="A105" s="21">
        <v>98</v>
      </c>
      <c r="B105" s="3" t="s">
        <v>53</v>
      </c>
      <c r="C105" s="6">
        <f>1088.67+16.05</f>
        <v>1104.72</v>
      </c>
      <c r="D105" s="6">
        <v>105.62</v>
      </c>
      <c r="E105" s="6">
        <f t="shared" si="3"/>
        <v>1210.3400000000001</v>
      </c>
      <c r="F105" s="15">
        <v>1</v>
      </c>
      <c r="G105" s="15">
        <f>31-1</f>
        <v>30</v>
      </c>
      <c r="H105" s="15">
        <v>3</v>
      </c>
      <c r="I105" s="16">
        <f t="shared" si="2"/>
        <v>33</v>
      </c>
    </row>
    <row r="106" spans="1:9" ht="12.75">
      <c r="A106" s="21">
        <v>99</v>
      </c>
      <c r="B106" s="3" t="s">
        <v>1</v>
      </c>
      <c r="C106" s="6">
        <v>519.21</v>
      </c>
      <c r="D106" s="6">
        <v>0</v>
      </c>
      <c r="E106" s="6">
        <f t="shared" si="3"/>
        <v>519.21</v>
      </c>
      <c r="F106" s="15">
        <v>1</v>
      </c>
      <c r="G106" s="15">
        <f>16-1</f>
        <v>15</v>
      </c>
      <c r="H106" s="6">
        <v>0</v>
      </c>
      <c r="I106" s="16">
        <f t="shared" si="2"/>
        <v>15</v>
      </c>
    </row>
    <row r="107" spans="1:9" ht="12.75">
      <c r="A107" s="21">
        <v>100</v>
      </c>
      <c r="B107" s="3" t="s">
        <v>78</v>
      </c>
      <c r="C107" s="6">
        <f>371.78-21</f>
        <v>350.78</v>
      </c>
      <c r="D107" s="6">
        <v>0</v>
      </c>
      <c r="E107" s="6">
        <f t="shared" si="3"/>
        <v>350.78</v>
      </c>
      <c r="F107" s="15">
        <v>1</v>
      </c>
      <c r="G107" s="15">
        <f>11-1-1</f>
        <v>9</v>
      </c>
      <c r="H107" s="6">
        <v>0</v>
      </c>
      <c r="I107" s="16">
        <f t="shared" si="2"/>
        <v>9</v>
      </c>
    </row>
    <row r="108" spans="1:9" ht="12.75">
      <c r="A108" s="21">
        <v>101</v>
      </c>
      <c r="B108" s="3" t="s">
        <v>88</v>
      </c>
      <c r="C108" s="6">
        <v>218.55</v>
      </c>
      <c r="D108" s="6">
        <v>113.4</v>
      </c>
      <c r="E108" s="6">
        <f t="shared" si="3"/>
        <v>331.95000000000005</v>
      </c>
      <c r="F108" s="15">
        <v>1</v>
      </c>
      <c r="G108" s="15">
        <v>5</v>
      </c>
      <c r="H108" s="15">
        <v>1</v>
      </c>
      <c r="I108" s="16">
        <f t="shared" si="2"/>
        <v>6</v>
      </c>
    </row>
    <row r="109" spans="1:9" ht="12.75">
      <c r="A109" s="21">
        <v>102</v>
      </c>
      <c r="B109" s="3" t="s">
        <v>89</v>
      </c>
      <c r="C109" s="6">
        <v>671.12</v>
      </c>
      <c r="D109" s="6">
        <v>0</v>
      </c>
      <c r="E109" s="6">
        <f t="shared" si="3"/>
        <v>671.12</v>
      </c>
      <c r="F109" s="15">
        <v>1</v>
      </c>
      <c r="G109" s="15">
        <v>24</v>
      </c>
      <c r="H109" s="6">
        <v>0</v>
      </c>
      <c r="I109" s="16">
        <f t="shared" si="2"/>
        <v>24</v>
      </c>
    </row>
    <row r="110" spans="1:9" ht="12.75">
      <c r="A110" s="21">
        <v>103</v>
      </c>
      <c r="B110" s="3" t="s">
        <v>144</v>
      </c>
      <c r="C110" s="6">
        <v>1729.33</v>
      </c>
      <c r="D110" s="6">
        <v>0</v>
      </c>
      <c r="E110" s="6">
        <v>1729.33</v>
      </c>
      <c r="F110" s="15">
        <v>1</v>
      </c>
      <c r="G110" s="15">
        <v>43</v>
      </c>
      <c r="H110" s="6">
        <v>0</v>
      </c>
      <c r="I110" s="16">
        <f>SUM(G110:H110)</f>
        <v>43</v>
      </c>
    </row>
    <row r="111" spans="1:9" ht="13.5" thickBot="1">
      <c r="A111" s="21">
        <v>104</v>
      </c>
      <c r="B111" s="3" t="s">
        <v>13</v>
      </c>
      <c r="C111" s="6">
        <v>302.3</v>
      </c>
      <c r="D111" s="6">
        <f>42.68-11.1</f>
        <v>31.58</v>
      </c>
      <c r="E111" s="6">
        <f t="shared" si="3"/>
        <v>333.88</v>
      </c>
      <c r="F111" s="15">
        <v>1</v>
      </c>
      <c r="G111" s="15">
        <v>9</v>
      </c>
      <c r="H111" s="15">
        <v>2</v>
      </c>
      <c r="I111" s="16">
        <f t="shared" si="2"/>
        <v>11</v>
      </c>
    </row>
    <row r="112" spans="1:9" ht="12.75">
      <c r="A112" s="42">
        <v>105</v>
      </c>
      <c r="B112" s="3" t="s">
        <v>14</v>
      </c>
      <c r="C112" s="6">
        <v>112.6</v>
      </c>
      <c r="D112" s="6">
        <v>0</v>
      </c>
      <c r="E112" s="6">
        <f t="shared" si="3"/>
        <v>112.6</v>
      </c>
      <c r="F112" s="15">
        <v>1</v>
      </c>
      <c r="G112" s="15">
        <v>4</v>
      </c>
      <c r="H112" s="6">
        <v>0</v>
      </c>
      <c r="I112" s="16">
        <f t="shared" si="2"/>
        <v>4</v>
      </c>
    </row>
    <row r="113" spans="1:9" ht="12.75">
      <c r="A113" s="21">
        <v>106</v>
      </c>
      <c r="B113" s="3" t="s">
        <v>15</v>
      </c>
      <c r="C113" s="6">
        <v>672.58</v>
      </c>
      <c r="D113" s="6">
        <v>0</v>
      </c>
      <c r="E113" s="6">
        <f t="shared" si="3"/>
        <v>672.58</v>
      </c>
      <c r="F113" s="15">
        <v>1</v>
      </c>
      <c r="G113" s="15">
        <v>15</v>
      </c>
      <c r="H113" s="6">
        <v>0</v>
      </c>
      <c r="I113" s="16">
        <f t="shared" si="2"/>
        <v>15</v>
      </c>
    </row>
    <row r="114" spans="1:9" ht="12.75">
      <c r="A114" s="21">
        <v>107</v>
      </c>
      <c r="B114" s="3" t="s">
        <v>12</v>
      </c>
      <c r="C114" s="6">
        <v>476.32</v>
      </c>
      <c r="D114" s="6">
        <v>50.43</v>
      </c>
      <c r="E114" s="6">
        <f t="shared" si="3"/>
        <v>526.75</v>
      </c>
      <c r="F114" s="15">
        <v>1</v>
      </c>
      <c r="G114" s="15">
        <f>11</f>
        <v>11</v>
      </c>
      <c r="H114" s="15">
        <v>1</v>
      </c>
      <c r="I114" s="16">
        <f t="shared" si="2"/>
        <v>12</v>
      </c>
    </row>
    <row r="115" spans="1:9" ht="12.75">
      <c r="A115" s="21">
        <v>108</v>
      </c>
      <c r="B115" s="3" t="s">
        <v>67</v>
      </c>
      <c r="C115" s="6">
        <v>388.52</v>
      </c>
      <c r="D115" s="6">
        <v>0</v>
      </c>
      <c r="E115" s="6">
        <f t="shared" si="3"/>
        <v>388.52</v>
      </c>
      <c r="F115" s="15">
        <v>1</v>
      </c>
      <c r="G115" s="15">
        <v>11</v>
      </c>
      <c r="H115" s="6">
        <v>0</v>
      </c>
      <c r="I115" s="16">
        <f t="shared" si="2"/>
        <v>11</v>
      </c>
    </row>
    <row r="116" spans="1:9" ht="12.75">
      <c r="A116" s="21">
        <v>109</v>
      </c>
      <c r="B116" s="3" t="s">
        <v>68</v>
      </c>
      <c r="C116" s="6">
        <v>121.67</v>
      </c>
      <c r="D116" s="6">
        <v>0</v>
      </c>
      <c r="E116" s="6">
        <f t="shared" si="3"/>
        <v>121.67</v>
      </c>
      <c r="F116" s="15">
        <v>1</v>
      </c>
      <c r="G116" s="15">
        <v>4</v>
      </c>
      <c r="H116" s="6">
        <v>0</v>
      </c>
      <c r="I116" s="16">
        <f t="shared" si="2"/>
        <v>4</v>
      </c>
    </row>
    <row r="117" spans="1:9" ht="12.75">
      <c r="A117" s="21">
        <v>110</v>
      </c>
      <c r="B117" s="3" t="s">
        <v>66</v>
      </c>
      <c r="C117" s="6">
        <v>202.25</v>
      </c>
      <c r="D117" s="6">
        <v>0</v>
      </c>
      <c r="E117" s="6">
        <f t="shared" si="3"/>
        <v>202.25</v>
      </c>
      <c r="F117" s="15">
        <v>1</v>
      </c>
      <c r="G117" s="15">
        <v>7</v>
      </c>
      <c r="H117" s="6">
        <v>0</v>
      </c>
      <c r="I117" s="16">
        <f t="shared" si="2"/>
        <v>7</v>
      </c>
    </row>
    <row r="118" spans="1:9" ht="12.75">
      <c r="A118" s="21">
        <v>111</v>
      </c>
      <c r="B118" s="3" t="s">
        <v>125</v>
      </c>
      <c r="C118" s="6">
        <v>357.36</v>
      </c>
      <c r="D118" s="6">
        <v>0</v>
      </c>
      <c r="E118" s="6">
        <f t="shared" si="3"/>
        <v>357.36</v>
      </c>
      <c r="F118" s="15">
        <v>1</v>
      </c>
      <c r="G118" s="15">
        <v>14</v>
      </c>
      <c r="H118" s="6">
        <v>0</v>
      </c>
      <c r="I118" s="16">
        <f t="shared" si="2"/>
        <v>14</v>
      </c>
    </row>
    <row r="119" spans="1:9" ht="13.5" thickBot="1">
      <c r="A119" s="21">
        <v>112</v>
      </c>
      <c r="B119" s="3" t="s">
        <v>29</v>
      </c>
      <c r="C119" s="6">
        <v>378.55</v>
      </c>
      <c r="D119" s="6">
        <v>0</v>
      </c>
      <c r="E119" s="6">
        <f t="shared" si="3"/>
        <v>378.55</v>
      </c>
      <c r="F119" s="15">
        <v>1</v>
      </c>
      <c r="G119" s="15">
        <v>12</v>
      </c>
      <c r="H119" s="6">
        <v>0</v>
      </c>
      <c r="I119" s="16">
        <f t="shared" si="2"/>
        <v>12</v>
      </c>
    </row>
    <row r="120" spans="1:9" ht="12.75">
      <c r="A120" s="42">
        <v>113</v>
      </c>
      <c r="B120" s="3" t="s">
        <v>51</v>
      </c>
      <c r="C120" s="6">
        <v>324.21</v>
      </c>
      <c r="D120" s="6">
        <v>0</v>
      </c>
      <c r="E120" s="6">
        <f t="shared" si="3"/>
        <v>324.21</v>
      </c>
      <c r="F120" s="15">
        <v>1</v>
      </c>
      <c r="G120" s="15">
        <v>13</v>
      </c>
      <c r="H120" s="6">
        <v>0</v>
      </c>
      <c r="I120" s="16">
        <f t="shared" si="2"/>
        <v>13</v>
      </c>
    </row>
    <row r="121" spans="1:9" ht="13.5" thickBot="1">
      <c r="A121" s="21">
        <v>114</v>
      </c>
      <c r="B121" s="10" t="s">
        <v>52</v>
      </c>
      <c r="C121" s="11">
        <v>317.39</v>
      </c>
      <c r="D121" s="11">
        <v>0</v>
      </c>
      <c r="E121" s="11">
        <v>317.39</v>
      </c>
      <c r="F121" s="19">
        <v>1</v>
      </c>
      <c r="G121" s="19">
        <v>9</v>
      </c>
      <c r="H121" s="11">
        <v>0</v>
      </c>
      <c r="I121" s="20">
        <f t="shared" si="2"/>
        <v>9</v>
      </c>
    </row>
    <row r="122" spans="1:9" ht="13.5" thickBot="1">
      <c r="A122" s="186" t="s">
        <v>107</v>
      </c>
      <c r="B122" s="187"/>
      <c r="C122" s="68">
        <f>SUM(C8:C121)</f>
        <v>37209.799999999996</v>
      </c>
      <c r="D122" s="68">
        <f aca="true" t="shared" si="4" ref="D122:I122">SUM(D8:D121)</f>
        <v>4884.009999999999</v>
      </c>
      <c r="E122" s="68">
        <f t="shared" si="4"/>
        <v>42093.81</v>
      </c>
      <c r="F122" s="69">
        <f t="shared" si="4"/>
        <v>111.8</v>
      </c>
      <c r="G122" s="70">
        <f>SUM(G8:G121)</f>
        <v>1079</v>
      </c>
      <c r="H122" s="70">
        <f t="shared" si="4"/>
        <v>51</v>
      </c>
      <c r="I122" s="71">
        <f t="shared" si="4"/>
        <v>1130</v>
      </c>
    </row>
    <row r="124" spans="1:4" ht="12.75">
      <c r="A124" s="54"/>
      <c r="B124" s="55"/>
      <c r="D124" s="28"/>
    </row>
    <row r="125" spans="1:9" ht="12.75">
      <c r="A125" s="56"/>
      <c r="B125" s="55"/>
      <c r="C125" s="26"/>
      <c r="D125" s="26"/>
      <c r="E125" s="26"/>
      <c r="F125" s="27"/>
      <c r="G125" s="27"/>
      <c r="H125" s="27"/>
      <c r="I125" s="27"/>
    </row>
    <row r="126" spans="1:7" ht="12.75">
      <c r="A126" s="54" t="s">
        <v>110</v>
      </c>
      <c r="B126" s="54"/>
      <c r="C126" s="1"/>
      <c r="D126" s="1"/>
      <c r="E126" s="1"/>
      <c r="F126" s="1"/>
      <c r="G126" s="1"/>
    </row>
    <row r="127" ht="13.5" thickBot="1"/>
    <row r="128" spans="1:9" s="12" customFormat="1" ht="31.5" customHeight="1">
      <c r="A128" s="171" t="s">
        <v>0</v>
      </c>
      <c r="B128" s="195" t="s">
        <v>115</v>
      </c>
      <c r="C128" s="178" t="s">
        <v>137</v>
      </c>
      <c r="D128" s="179"/>
      <c r="E128" s="200" t="s">
        <v>138</v>
      </c>
      <c r="F128" s="200" t="s">
        <v>119</v>
      </c>
      <c r="G128" s="180" t="s">
        <v>120</v>
      </c>
      <c r="H128" s="181"/>
      <c r="I128" s="198" t="s">
        <v>121</v>
      </c>
    </row>
    <row r="129" spans="1:9" s="12" customFormat="1" ht="41.25" customHeight="1" thickBot="1">
      <c r="A129" s="194"/>
      <c r="B129" s="196"/>
      <c r="C129" s="62" t="s">
        <v>122</v>
      </c>
      <c r="D129" s="62" t="s">
        <v>123</v>
      </c>
      <c r="E129" s="202"/>
      <c r="F129" s="202"/>
      <c r="G129" s="62" t="s">
        <v>122</v>
      </c>
      <c r="H129" s="62" t="s">
        <v>123</v>
      </c>
      <c r="I129" s="223"/>
    </row>
    <row r="130" spans="1:9" ht="12.75">
      <c r="A130" s="57">
        <v>1</v>
      </c>
      <c r="B130" s="8" t="s">
        <v>87</v>
      </c>
      <c r="C130" s="9">
        <v>259.85</v>
      </c>
      <c r="D130" s="9">
        <v>0</v>
      </c>
      <c r="E130" s="9">
        <f>C130+D130</f>
        <v>259.85</v>
      </c>
      <c r="F130" s="13">
        <v>1</v>
      </c>
      <c r="G130" s="13">
        <v>8</v>
      </c>
      <c r="H130" s="13"/>
      <c r="I130" s="14">
        <f aca="true" t="shared" si="5" ref="I130:I135">SUM(G130:H130)</f>
        <v>8</v>
      </c>
    </row>
    <row r="131" spans="1:9" ht="12.75">
      <c r="A131" s="21">
        <v>2</v>
      </c>
      <c r="B131" s="3" t="s">
        <v>92</v>
      </c>
      <c r="C131" s="6">
        <v>38</v>
      </c>
      <c r="D131" s="6">
        <v>0</v>
      </c>
      <c r="E131" s="6">
        <f>C131+D131</f>
        <v>38</v>
      </c>
      <c r="F131" s="18">
        <v>0.1</v>
      </c>
      <c r="G131" s="15">
        <v>1</v>
      </c>
      <c r="H131" s="15"/>
      <c r="I131" s="16">
        <f t="shared" si="5"/>
        <v>1</v>
      </c>
    </row>
    <row r="132" spans="1:9" ht="12.75">
      <c r="A132" s="21">
        <v>3</v>
      </c>
      <c r="B132" s="3" t="s">
        <v>22</v>
      </c>
      <c r="C132" s="6">
        <v>59.81</v>
      </c>
      <c r="D132" s="6">
        <v>0</v>
      </c>
      <c r="E132" s="6">
        <f>C132+D132</f>
        <v>59.81</v>
      </c>
      <c r="F132" s="22">
        <v>1</v>
      </c>
      <c r="G132" s="15">
        <v>1</v>
      </c>
      <c r="H132" s="15"/>
      <c r="I132" s="16">
        <f t="shared" si="5"/>
        <v>1</v>
      </c>
    </row>
    <row r="133" spans="1:9" ht="12.75">
      <c r="A133" s="21">
        <v>4</v>
      </c>
      <c r="B133" s="43" t="s">
        <v>2</v>
      </c>
      <c r="C133" s="36">
        <v>355.3</v>
      </c>
      <c r="D133" s="36">
        <v>20</v>
      </c>
      <c r="E133" s="36">
        <f>C133+D133</f>
        <v>375.3</v>
      </c>
      <c r="F133" s="35">
        <v>1</v>
      </c>
      <c r="G133" s="35">
        <v>10</v>
      </c>
      <c r="H133" s="35">
        <v>1</v>
      </c>
      <c r="I133" s="44">
        <f t="shared" si="5"/>
        <v>11</v>
      </c>
    </row>
    <row r="134" spans="1:9" ht="12.75">
      <c r="A134" s="21">
        <v>5</v>
      </c>
      <c r="B134" s="65" t="s">
        <v>94</v>
      </c>
      <c r="C134" s="36">
        <v>146.33</v>
      </c>
      <c r="D134" s="36" t="s">
        <v>136</v>
      </c>
      <c r="E134" s="36">
        <v>146.33</v>
      </c>
      <c r="F134" s="35">
        <v>1</v>
      </c>
      <c r="G134" s="35">
        <v>2</v>
      </c>
      <c r="H134" s="35"/>
      <c r="I134" s="44">
        <f t="shared" si="5"/>
        <v>2</v>
      </c>
    </row>
    <row r="135" spans="1:9" ht="13.5" thickBot="1">
      <c r="A135" s="63">
        <v>6</v>
      </c>
      <c r="B135" s="50" t="s">
        <v>143</v>
      </c>
      <c r="C135" s="51">
        <v>100.17</v>
      </c>
      <c r="D135" s="51"/>
      <c r="E135" s="51">
        <v>100.17</v>
      </c>
      <c r="F135" s="52">
        <v>1</v>
      </c>
      <c r="G135" s="52">
        <v>3</v>
      </c>
      <c r="H135" s="52"/>
      <c r="I135" s="64">
        <f t="shared" si="5"/>
        <v>3</v>
      </c>
    </row>
    <row r="136" spans="1:9" ht="13.5" thickBot="1">
      <c r="A136" s="173" t="s">
        <v>103</v>
      </c>
      <c r="B136" s="174"/>
      <c r="C136" s="59">
        <f aca="true" t="shared" si="6" ref="C136:I136">SUM(C130:C135)</f>
        <v>959.46</v>
      </c>
      <c r="D136" s="59">
        <f t="shared" si="6"/>
        <v>20</v>
      </c>
      <c r="E136" s="59">
        <f t="shared" si="6"/>
        <v>979.46</v>
      </c>
      <c r="F136" s="59">
        <f t="shared" si="6"/>
        <v>5.1</v>
      </c>
      <c r="G136" s="60">
        <f t="shared" si="6"/>
        <v>25</v>
      </c>
      <c r="H136" s="60">
        <f t="shared" si="6"/>
        <v>1</v>
      </c>
      <c r="I136" s="61">
        <f t="shared" si="6"/>
        <v>26</v>
      </c>
    </row>
    <row r="137" spans="1:2" ht="12.75">
      <c r="A137" s="55"/>
      <c r="B137" s="55"/>
    </row>
    <row r="138" spans="1:2" ht="12.75">
      <c r="A138" s="55"/>
      <c r="B138" s="55"/>
    </row>
    <row r="139" spans="1:8" ht="13.5" thickBot="1">
      <c r="A139" s="175" t="s">
        <v>116</v>
      </c>
      <c r="B139" s="175"/>
      <c r="C139" s="175"/>
      <c r="D139" s="175"/>
      <c r="E139" s="175"/>
      <c r="F139" s="175"/>
      <c r="G139" s="175"/>
      <c r="H139" s="1"/>
    </row>
    <row r="140" spans="1:9" s="12" customFormat="1" ht="32.25" customHeight="1">
      <c r="A140" s="188" t="s">
        <v>0</v>
      </c>
      <c r="B140" s="190" t="s">
        <v>115</v>
      </c>
      <c r="C140" s="182" t="s">
        <v>137</v>
      </c>
      <c r="D140" s="182"/>
      <c r="E140" s="182" t="s">
        <v>138</v>
      </c>
      <c r="F140" s="182" t="s">
        <v>119</v>
      </c>
      <c r="G140" s="182" t="s">
        <v>124</v>
      </c>
      <c r="H140" s="184" t="s">
        <v>151</v>
      </c>
      <c r="I140" s="24"/>
    </row>
    <row r="141" spans="1:9" s="12" customFormat="1" ht="36" customHeight="1" thickBot="1">
      <c r="A141" s="189"/>
      <c r="B141" s="191"/>
      <c r="C141" s="62" t="s">
        <v>122</v>
      </c>
      <c r="D141" s="62" t="s">
        <v>123</v>
      </c>
      <c r="E141" s="183"/>
      <c r="F141" s="183"/>
      <c r="G141" s="183"/>
      <c r="H141" s="185"/>
      <c r="I141" s="24"/>
    </row>
    <row r="142" spans="1:8" ht="12.75">
      <c r="A142" s="40">
        <v>1</v>
      </c>
      <c r="B142" s="23" t="s">
        <v>93</v>
      </c>
      <c r="C142" s="23"/>
      <c r="D142" s="83">
        <v>109.9</v>
      </c>
      <c r="E142" s="83">
        <f>C142+D142</f>
        <v>109.9</v>
      </c>
      <c r="F142" s="84">
        <v>1</v>
      </c>
      <c r="G142" s="85">
        <v>3</v>
      </c>
      <c r="H142" s="86"/>
    </row>
    <row r="143" spans="1:8" ht="12.75">
      <c r="A143" s="21">
        <v>2</v>
      </c>
      <c r="B143" s="3" t="s">
        <v>96</v>
      </c>
      <c r="C143" s="3"/>
      <c r="D143" s="36">
        <v>1066.93</v>
      </c>
      <c r="E143" s="36">
        <f aca="true" t="shared" si="7" ref="E143:E153">C143+D143</f>
        <v>1066.93</v>
      </c>
      <c r="F143" s="35">
        <v>1</v>
      </c>
      <c r="G143" s="72">
        <v>3</v>
      </c>
      <c r="H143" s="73"/>
    </row>
    <row r="144" spans="1:8" ht="12.75">
      <c r="A144" s="21">
        <v>3</v>
      </c>
      <c r="B144" s="3" t="s">
        <v>108</v>
      </c>
      <c r="C144" s="3"/>
      <c r="D144" s="36">
        <v>277.5</v>
      </c>
      <c r="E144" s="36">
        <f t="shared" si="7"/>
        <v>277.5</v>
      </c>
      <c r="F144" s="35">
        <v>1</v>
      </c>
      <c r="G144" s="72">
        <v>7</v>
      </c>
      <c r="H144" s="73"/>
    </row>
    <row r="145" spans="1:8" ht="12.75">
      <c r="A145" s="21">
        <v>4</v>
      </c>
      <c r="B145" s="3" t="s">
        <v>62</v>
      </c>
      <c r="C145" s="3"/>
      <c r="D145" s="36">
        <v>81.46</v>
      </c>
      <c r="E145" s="36">
        <f t="shared" si="7"/>
        <v>81.46</v>
      </c>
      <c r="F145" s="35">
        <v>1</v>
      </c>
      <c r="G145" s="72">
        <v>1</v>
      </c>
      <c r="H145" s="73"/>
    </row>
    <row r="146" spans="1:8" ht="12.75">
      <c r="A146" s="21">
        <v>5</v>
      </c>
      <c r="B146" s="3" t="s">
        <v>139</v>
      </c>
      <c r="C146" s="3"/>
      <c r="D146" s="36">
        <v>53.98</v>
      </c>
      <c r="E146" s="36">
        <f t="shared" si="7"/>
        <v>53.98</v>
      </c>
      <c r="F146" s="35">
        <v>1</v>
      </c>
      <c r="G146" s="72">
        <v>1</v>
      </c>
      <c r="H146" s="73"/>
    </row>
    <row r="147" spans="1:24" ht="12.75">
      <c r="A147" s="21">
        <v>6</v>
      </c>
      <c r="B147" s="3" t="s">
        <v>95</v>
      </c>
      <c r="C147" s="3"/>
      <c r="D147" s="36">
        <v>33.73</v>
      </c>
      <c r="E147" s="36">
        <f t="shared" si="7"/>
        <v>33.73</v>
      </c>
      <c r="F147" s="35">
        <v>1</v>
      </c>
      <c r="G147" s="72">
        <v>1</v>
      </c>
      <c r="H147" s="73"/>
      <c r="P147" s="38"/>
      <c r="Q147" s="38"/>
      <c r="R147" s="38"/>
      <c r="S147" s="38"/>
      <c r="T147" s="38"/>
      <c r="U147" s="38"/>
      <c r="V147" s="38"/>
      <c r="W147" s="38"/>
      <c r="X147" s="38"/>
    </row>
    <row r="148" spans="1:24" ht="12.75">
      <c r="A148" s="21">
        <v>7</v>
      </c>
      <c r="B148" s="3" t="s">
        <v>140</v>
      </c>
      <c r="C148" s="3"/>
      <c r="D148" s="36">
        <v>4802.99</v>
      </c>
      <c r="E148" s="36">
        <f t="shared" si="7"/>
        <v>4802.99</v>
      </c>
      <c r="F148" s="35">
        <v>3</v>
      </c>
      <c r="G148" s="72">
        <v>3</v>
      </c>
      <c r="H148" s="73">
        <v>81.31</v>
      </c>
      <c r="P148" s="38"/>
      <c r="Q148" s="75"/>
      <c r="R148" s="38"/>
      <c r="S148" s="38"/>
      <c r="T148" s="26"/>
      <c r="U148" s="26"/>
      <c r="V148" s="27"/>
      <c r="W148" s="27"/>
      <c r="X148" s="38"/>
    </row>
    <row r="149" spans="1:24" ht="55.5" customHeight="1">
      <c r="A149" s="21"/>
      <c r="B149" s="88" t="s">
        <v>152</v>
      </c>
      <c r="C149" s="3"/>
      <c r="D149" s="89">
        <v>423.02</v>
      </c>
      <c r="E149" s="89">
        <f t="shared" si="7"/>
        <v>423.02</v>
      </c>
      <c r="F149" s="90"/>
      <c r="G149" s="91">
        <v>1</v>
      </c>
      <c r="H149" s="92">
        <v>57.36</v>
      </c>
      <c r="P149" s="38"/>
      <c r="Q149" s="75"/>
      <c r="R149" s="38"/>
      <c r="S149" s="38"/>
      <c r="T149" s="26"/>
      <c r="U149" s="26"/>
      <c r="V149" s="27"/>
      <c r="W149" s="27"/>
      <c r="X149" s="38"/>
    </row>
    <row r="150" spans="1:24" ht="12.75">
      <c r="A150" s="21">
        <v>8</v>
      </c>
      <c r="B150" s="3" t="s">
        <v>117</v>
      </c>
      <c r="C150" s="3"/>
      <c r="D150" s="36">
        <v>103.04</v>
      </c>
      <c r="E150" s="36">
        <f>C150+D150</f>
        <v>103.04</v>
      </c>
      <c r="F150" s="35">
        <v>1</v>
      </c>
      <c r="G150" s="72">
        <v>1</v>
      </c>
      <c r="H150" s="73"/>
      <c r="P150" s="38"/>
      <c r="Q150" s="75"/>
      <c r="R150" s="38"/>
      <c r="S150" s="38"/>
      <c r="T150" s="26"/>
      <c r="U150" s="26"/>
      <c r="V150" s="27"/>
      <c r="W150" s="27"/>
      <c r="X150" s="38"/>
    </row>
    <row r="151" spans="1:24" ht="12.75">
      <c r="A151" s="21">
        <v>9</v>
      </c>
      <c r="B151" s="3" t="s">
        <v>141</v>
      </c>
      <c r="C151" s="3"/>
      <c r="D151" s="36">
        <v>761.7</v>
      </c>
      <c r="E151" s="36">
        <f>C151+D151</f>
        <v>761.7</v>
      </c>
      <c r="F151" s="35">
        <v>1</v>
      </c>
      <c r="G151" s="72">
        <v>1</v>
      </c>
      <c r="H151" s="73"/>
      <c r="P151" s="38"/>
      <c r="Q151" s="75"/>
      <c r="R151" s="38"/>
      <c r="S151" s="38"/>
      <c r="T151" s="26"/>
      <c r="U151" s="26"/>
      <c r="V151" s="27"/>
      <c r="W151" s="27"/>
      <c r="X151" s="38"/>
    </row>
    <row r="152" spans="1:24" ht="12.75">
      <c r="A152" s="21">
        <v>10</v>
      </c>
      <c r="B152" s="3" t="s">
        <v>142</v>
      </c>
      <c r="C152" s="3"/>
      <c r="D152" s="36">
        <v>178.74</v>
      </c>
      <c r="E152" s="36">
        <f t="shared" si="7"/>
        <v>178.74</v>
      </c>
      <c r="F152" s="35">
        <v>1</v>
      </c>
      <c r="G152" s="72">
        <v>1</v>
      </c>
      <c r="H152" s="73"/>
      <c r="P152" s="38"/>
      <c r="Q152" s="38"/>
      <c r="R152" s="38"/>
      <c r="S152" s="38"/>
      <c r="T152" s="38"/>
      <c r="U152" s="38"/>
      <c r="V152" s="38"/>
      <c r="W152" s="38"/>
      <c r="X152" s="38"/>
    </row>
    <row r="153" spans="1:24" ht="12.75">
      <c r="A153" s="21">
        <v>11</v>
      </c>
      <c r="B153" s="3" t="s">
        <v>147</v>
      </c>
      <c r="C153" s="3"/>
      <c r="D153" s="36">
        <v>184.8</v>
      </c>
      <c r="E153" s="36">
        <f t="shared" si="7"/>
        <v>184.8</v>
      </c>
      <c r="F153" s="35">
        <v>1</v>
      </c>
      <c r="G153" s="72">
        <v>10</v>
      </c>
      <c r="H153" s="73"/>
      <c r="P153" s="38"/>
      <c r="Q153" s="38"/>
      <c r="R153" s="38"/>
      <c r="S153" s="38"/>
      <c r="T153" s="38"/>
      <c r="U153" s="38"/>
      <c r="V153" s="38"/>
      <c r="W153" s="38"/>
      <c r="X153" s="38"/>
    </row>
    <row r="154" spans="1:8" ht="12.75">
      <c r="A154" s="21">
        <v>12</v>
      </c>
      <c r="B154" s="3" t="s">
        <v>148</v>
      </c>
      <c r="C154" s="3"/>
      <c r="D154" s="36">
        <v>107.91</v>
      </c>
      <c r="E154" s="36">
        <f>D154</f>
        <v>107.91</v>
      </c>
      <c r="F154" s="35">
        <v>1</v>
      </c>
      <c r="G154" s="72">
        <v>3</v>
      </c>
      <c r="H154" s="73"/>
    </row>
    <row r="155" spans="1:8" ht="12.75">
      <c r="A155" s="41">
        <v>13</v>
      </c>
      <c r="B155" s="2" t="s">
        <v>149</v>
      </c>
      <c r="C155" s="2"/>
      <c r="D155" s="76">
        <v>112</v>
      </c>
      <c r="E155" s="76">
        <v>112</v>
      </c>
      <c r="F155" s="77">
        <v>1</v>
      </c>
      <c r="G155" s="78">
        <v>1</v>
      </c>
      <c r="H155" s="74"/>
    </row>
    <row r="156" spans="1:8" ht="13.5" thickBot="1">
      <c r="A156" s="63">
        <v>14</v>
      </c>
      <c r="B156" s="93" t="s">
        <v>153</v>
      </c>
      <c r="C156" s="93"/>
      <c r="D156" s="51">
        <v>545.9</v>
      </c>
      <c r="E156" s="51">
        <v>545.9</v>
      </c>
      <c r="F156" s="52">
        <v>1</v>
      </c>
      <c r="G156" s="94"/>
      <c r="H156" s="95"/>
    </row>
    <row r="157" spans="1:8" s="12" customFormat="1" ht="27" customHeight="1" thickBot="1">
      <c r="A157" s="79"/>
      <c r="B157" s="80" t="s">
        <v>102</v>
      </c>
      <c r="C157" s="80"/>
      <c r="D157" s="81">
        <f>SUM(D142:D156)</f>
        <v>8843.6</v>
      </c>
      <c r="E157" s="81">
        <f>SUM(E142:E156)</f>
        <v>8843.6</v>
      </c>
      <c r="F157" s="82">
        <f>SUM(F142:F156)</f>
        <v>16</v>
      </c>
      <c r="G157" s="82">
        <f>SUM(G142:G156)</f>
        <v>37</v>
      </c>
      <c r="H157" s="87">
        <f>SUM(H148:H156)</f>
        <v>138.67000000000002</v>
      </c>
    </row>
    <row r="158" spans="1:2" ht="12.75">
      <c r="A158" s="55"/>
      <c r="B158" s="55"/>
    </row>
    <row r="159" spans="1:2" ht="12.75">
      <c r="A159" s="55"/>
      <c r="B159" s="55"/>
    </row>
    <row r="160" spans="1:9" ht="13.5" customHeight="1">
      <c r="A160" s="176" t="s">
        <v>155</v>
      </c>
      <c r="B160" s="176"/>
      <c r="C160" s="176"/>
      <c r="D160" s="176"/>
      <c r="E160" s="176"/>
      <c r="F160" s="176"/>
      <c r="G160" s="176"/>
      <c r="H160" s="176"/>
      <c r="I160" s="103"/>
    </row>
    <row r="161" spans="1:9" ht="12.75" customHeight="1" thickBot="1">
      <c r="A161" s="177" t="s">
        <v>156</v>
      </c>
      <c r="B161" s="177"/>
      <c r="C161" s="177"/>
      <c r="D161" s="177"/>
      <c r="E161" s="177"/>
      <c r="F161" s="177"/>
      <c r="G161" s="177"/>
      <c r="H161" s="177"/>
      <c r="I161" s="103"/>
    </row>
    <row r="162" spans="1:9" ht="27" customHeight="1">
      <c r="A162" s="203" t="s">
        <v>157</v>
      </c>
      <c r="B162" s="182" t="s">
        <v>115</v>
      </c>
      <c r="C162" s="206" t="s">
        <v>158</v>
      </c>
      <c r="D162" s="206"/>
      <c r="E162" s="182" t="s">
        <v>159</v>
      </c>
      <c r="F162" s="206" t="s">
        <v>160</v>
      </c>
      <c r="G162" s="206"/>
      <c r="H162" s="207" t="s">
        <v>161</v>
      </c>
      <c r="I162" s="103"/>
    </row>
    <row r="163" spans="1:8" s="39" customFormat="1" ht="39" customHeight="1" thickBot="1">
      <c r="A163" s="204"/>
      <c r="B163" s="205"/>
      <c r="C163" s="58" t="s">
        <v>162</v>
      </c>
      <c r="D163" s="102" t="s">
        <v>163</v>
      </c>
      <c r="E163" s="205"/>
      <c r="F163" s="58" t="s">
        <v>162</v>
      </c>
      <c r="G163" s="102" t="s">
        <v>163</v>
      </c>
      <c r="H163" s="208"/>
    </row>
    <row r="164" spans="1:9" ht="14.25" customHeight="1">
      <c r="A164" s="42">
        <v>1</v>
      </c>
      <c r="B164" s="104" t="s">
        <v>164</v>
      </c>
      <c r="C164" s="105">
        <v>211.8</v>
      </c>
      <c r="D164" s="105">
        <v>0</v>
      </c>
      <c r="E164" s="105">
        <f>SUM(C164:D164)</f>
        <v>211.8</v>
      </c>
      <c r="F164" s="13">
        <v>7</v>
      </c>
      <c r="G164" s="105">
        <v>0</v>
      </c>
      <c r="H164" s="106">
        <f>SUM(F164:G164)</f>
        <v>7</v>
      </c>
      <c r="I164" s="107"/>
    </row>
    <row r="165" spans="1:9" ht="12.75">
      <c r="A165" s="21">
        <v>2</v>
      </c>
      <c r="B165" s="108" t="s">
        <v>165</v>
      </c>
      <c r="C165" s="32">
        <v>172.6</v>
      </c>
      <c r="D165" s="32">
        <v>0</v>
      </c>
      <c r="E165" s="32">
        <f aca="true" t="shared" si="8" ref="E165:E190">SUM(C165:D165)</f>
        <v>172.6</v>
      </c>
      <c r="F165" s="15">
        <v>4</v>
      </c>
      <c r="G165" s="32">
        <v>0</v>
      </c>
      <c r="H165" s="16">
        <f>SUM(F165:G165)</f>
        <v>4</v>
      </c>
      <c r="I165" s="39"/>
    </row>
    <row r="166" spans="1:9" ht="12.75">
      <c r="A166" s="21">
        <v>3</v>
      </c>
      <c r="B166" s="108" t="s">
        <v>166</v>
      </c>
      <c r="C166" s="32">
        <v>176.8</v>
      </c>
      <c r="D166" s="32">
        <v>39.1</v>
      </c>
      <c r="E166" s="32">
        <f t="shared" si="8"/>
        <v>215.9</v>
      </c>
      <c r="F166" s="15">
        <v>5</v>
      </c>
      <c r="G166" s="15">
        <v>1</v>
      </c>
      <c r="H166" s="16">
        <f aca="true" t="shared" si="9" ref="H166:H190">SUM(F166:G166)</f>
        <v>6</v>
      </c>
      <c r="I166" s="39"/>
    </row>
    <row r="167" spans="1:9" ht="12.75">
      <c r="A167" s="21">
        <v>4</v>
      </c>
      <c r="B167" s="108" t="s">
        <v>167</v>
      </c>
      <c r="C167" s="32">
        <v>186.62</v>
      </c>
      <c r="D167" s="32">
        <v>0</v>
      </c>
      <c r="E167" s="32">
        <f t="shared" si="8"/>
        <v>186.62</v>
      </c>
      <c r="F167" s="15">
        <v>6</v>
      </c>
      <c r="G167" s="32">
        <v>0</v>
      </c>
      <c r="H167" s="16">
        <f t="shared" si="9"/>
        <v>6</v>
      </c>
      <c r="I167" s="39"/>
    </row>
    <row r="168" spans="1:9" ht="12.75">
      <c r="A168" s="21">
        <v>5</v>
      </c>
      <c r="B168" s="108" t="s">
        <v>168</v>
      </c>
      <c r="C168" s="32">
        <v>137.64</v>
      </c>
      <c r="D168" s="32">
        <v>55.26</v>
      </c>
      <c r="E168" s="32">
        <f t="shared" si="8"/>
        <v>192.89999999999998</v>
      </c>
      <c r="F168" s="15">
        <v>4</v>
      </c>
      <c r="G168" s="15">
        <v>1</v>
      </c>
      <c r="H168" s="16">
        <f t="shared" si="9"/>
        <v>5</v>
      </c>
      <c r="I168" s="39"/>
    </row>
    <row r="169" spans="1:9" ht="13.5" thickBot="1">
      <c r="A169" s="21">
        <v>6</v>
      </c>
      <c r="B169" s="108" t="s">
        <v>169</v>
      </c>
      <c r="C169" s="32">
        <v>275.9</v>
      </c>
      <c r="D169" s="32">
        <v>0</v>
      </c>
      <c r="E169" s="32">
        <f t="shared" si="8"/>
        <v>275.9</v>
      </c>
      <c r="F169" s="15">
        <v>8</v>
      </c>
      <c r="G169" s="32">
        <v>0</v>
      </c>
      <c r="H169" s="16">
        <f t="shared" si="9"/>
        <v>8</v>
      </c>
      <c r="I169" s="39"/>
    </row>
    <row r="170" spans="1:9" ht="13.5" customHeight="1">
      <c r="A170" s="42">
        <v>7</v>
      </c>
      <c r="B170" s="108" t="s">
        <v>170</v>
      </c>
      <c r="C170" s="32">
        <v>808.15</v>
      </c>
      <c r="D170" s="32">
        <v>0</v>
      </c>
      <c r="E170" s="32">
        <f t="shared" si="8"/>
        <v>808.15</v>
      </c>
      <c r="F170" s="15">
        <v>28</v>
      </c>
      <c r="G170" s="32">
        <v>0</v>
      </c>
      <c r="H170" s="16">
        <f t="shared" si="9"/>
        <v>28</v>
      </c>
      <c r="I170" s="39"/>
    </row>
    <row r="171" spans="1:9" ht="12.75">
      <c r="A171" s="21">
        <v>8</v>
      </c>
      <c r="B171" s="108" t="s">
        <v>171</v>
      </c>
      <c r="C171" s="32">
        <v>220.69</v>
      </c>
      <c r="D171" s="32">
        <v>0</v>
      </c>
      <c r="E171" s="32">
        <f t="shared" si="8"/>
        <v>220.69</v>
      </c>
      <c r="F171" s="15">
        <v>7</v>
      </c>
      <c r="G171" s="32">
        <v>0</v>
      </c>
      <c r="H171" s="16">
        <f t="shared" si="9"/>
        <v>7</v>
      </c>
      <c r="I171" s="39"/>
    </row>
    <row r="172" spans="1:9" ht="12.75">
      <c r="A172" s="21">
        <v>9</v>
      </c>
      <c r="B172" s="108" t="s">
        <v>172</v>
      </c>
      <c r="C172" s="32">
        <v>444.35</v>
      </c>
      <c r="D172" s="32">
        <v>0</v>
      </c>
      <c r="E172" s="32">
        <f t="shared" si="8"/>
        <v>444.35</v>
      </c>
      <c r="F172" s="15">
        <v>16</v>
      </c>
      <c r="G172" s="32">
        <v>0</v>
      </c>
      <c r="H172" s="16">
        <f t="shared" si="9"/>
        <v>16</v>
      </c>
      <c r="I172" s="39"/>
    </row>
    <row r="173" spans="1:9" ht="12.75">
      <c r="A173" s="21">
        <v>10</v>
      </c>
      <c r="B173" s="108" t="s">
        <v>173</v>
      </c>
      <c r="C173" s="32">
        <v>337</v>
      </c>
      <c r="D173" s="32">
        <v>0</v>
      </c>
      <c r="E173" s="32">
        <f t="shared" si="8"/>
        <v>337</v>
      </c>
      <c r="F173" s="15">
        <v>13</v>
      </c>
      <c r="G173" s="32">
        <v>0</v>
      </c>
      <c r="H173" s="16">
        <f t="shared" si="9"/>
        <v>13</v>
      </c>
      <c r="I173" s="39"/>
    </row>
    <row r="174" spans="1:9" ht="12.75">
      <c r="A174" s="21">
        <v>11</v>
      </c>
      <c r="B174" s="108" t="s">
        <v>174</v>
      </c>
      <c r="C174" s="32">
        <v>447.6</v>
      </c>
      <c r="D174" s="32">
        <v>54.44</v>
      </c>
      <c r="E174" s="32">
        <f t="shared" si="8"/>
        <v>502.04</v>
      </c>
      <c r="F174" s="15">
        <v>18</v>
      </c>
      <c r="G174" s="15">
        <v>2</v>
      </c>
      <c r="H174" s="16">
        <f t="shared" si="9"/>
        <v>20</v>
      </c>
      <c r="I174" s="39"/>
    </row>
    <row r="175" spans="1:10" ht="13.5" thickBot="1">
      <c r="A175" s="21">
        <v>12</v>
      </c>
      <c r="B175" s="109" t="s">
        <v>175</v>
      </c>
      <c r="C175" s="110">
        <v>583.91</v>
      </c>
      <c r="D175" s="110">
        <v>0</v>
      </c>
      <c r="E175" s="110">
        <f t="shared" si="8"/>
        <v>583.91</v>
      </c>
      <c r="F175" s="47">
        <v>15</v>
      </c>
      <c r="G175" s="110">
        <v>0</v>
      </c>
      <c r="H175" s="49">
        <f t="shared" si="9"/>
        <v>15</v>
      </c>
      <c r="I175" s="66"/>
      <c r="J175" s="67"/>
    </row>
    <row r="176" spans="1:9" ht="12.75">
      <c r="A176" s="42">
        <v>13</v>
      </c>
      <c r="B176" s="108" t="s">
        <v>176</v>
      </c>
      <c r="C176" s="32">
        <v>203.32</v>
      </c>
      <c r="D176" s="32">
        <v>45.42</v>
      </c>
      <c r="E176" s="32">
        <f t="shared" si="8"/>
        <v>248.74</v>
      </c>
      <c r="F176" s="15">
        <v>6</v>
      </c>
      <c r="G176" s="15">
        <v>2</v>
      </c>
      <c r="H176" s="16">
        <f t="shared" si="9"/>
        <v>8</v>
      </c>
      <c r="I176" s="39"/>
    </row>
    <row r="177" spans="1:9" ht="12.75">
      <c r="A177" s="21">
        <v>14</v>
      </c>
      <c r="B177" s="108" t="s">
        <v>177</v>
      </c>
      <c r="C177" s="32">
        <v>309.29</v>
      </c>
      <c r="D177" s="32">
        <v>51</v>
      </c>
      <c r="E177" s="32">
        <f t="shared" si="8"/>
        <v>360.29</v>
      </c>
      <c r="F177" s="15">
        <v>9</v>
      </c>
      <c r="G177" s="15">
        <v>1</v>
      </c>
      <c r="H177" s="16">
        <f t="shared" si="9"/>
        <v>10</v>
      </c>
      <c r="I177" s="39"/>
    </row>
    <row r="178" spans="1:10" ht="12.75">
      <c r="A178" s="21">
        <v>15</v>
      </c>
      <c r="B178" s="109" t="s">
        <v>178</v>
      </c>
      <c r="C178" s="110">
        <f>368.65+15.2-37</f>
        <v>346.84999999999997</v>
      </c>
      <c r="D178" s="110">
        <f>110.53-15.2+37</f>
        <v>132.32999999999998</v>
      </c>
      <c r="E178" s="110">
        <f t="shared" si="8"/>
        <v>479.17999999999995</v>
      </c>
      <c r="F178" s="47">
        <v>10</v>
      </c>
      <c r="G178" s="47">
        <v>2</v>
      </c>
      <c r="H178" s="49">
        <f t="shared" si="9"/>
        <v>12</v>
      </c>
      <c r="I178" s="66"/>
      <c r="J178" s="67"/>
    </row>
    <row r="179" spans="1:9" ht="12.75">
      <c r="A179" s="21">
        <v>16</v>
      </c>
      <c r="B179" s="108" t="s">
        <v>179</v>
      </c>
      <c r="C179" s="32">
        <v>164.11</v>
      </c>
      <c r="D179" s="32">
        <v>0</v>
      </c>
      <c r="E179" s="32">
        <f t="shared" si="8"/>
        <v>164.11</v>
      </c>
      <c r="F179" s="15">
        <v>6</v>
      </c>
      <c r="G179" s="32">
        <v>0</v>
      </c>
      <c r="H179" s="16">
        <f t="shared" si="9"/>
        <v>6</v>
      </c>
      <c r="I179" s="39"/>
    </row>
    <row r="180" spans="1:11" ht="12.75">
      <c r="A180" s="21">
        <v>17</v>
      </c>
      <c r="B180" s="109" t="s">
        <v>180</v>
      </c>
      <c r="C180" s="110">
        <v>598.6</v>
      </c>
      <c r="D180" s="110">
        <v>0</v>
      </c>
      <c r="E180" s="110">
        <f t="shared" si="8"/>
        <v>598.6</v>
      </c>
      <c r="F180" s="47">
        <v>12</v>
      </c>
      <c r="G180" s="110">
        <v>0</v>
      </c>
      <c r="H180" s="49">
        <f t="shared" si="9"/>
        <v>12</v>
      </c>
      <c r="I180" s="211"/>
      <c r="J180" s="212"/>
      <c r="K180" s="212"/>
    </row>
    <row r="181" spans="1:11" ht="13.5" thickBot="1">
      <c r="A181" s="21">
        <v>18</v>
      </c>
      <c r="B181" s="109" t="s">
        <v>181</v>
      </c>
      <c r="C181" s="110">
        <v>272.06</v>
      </c>
      <c r="D181" s="110">
        <v>0</v>
      </c>
      <c r="E181" s="110">
        <f t="shared" si="8"/>
        <v>272.06</v>
      </c>
      <c r="F181" s="47">
        <v>7</v>
      </c>
      <c r="G181" s="110">
        <v>0</v>
      </c>
      <c r="H181" s="49">
        <f t="shared" si="9"/>
        <v>7</v>
      </c>
      <c r="I181" s="211"/>
      <c r="J181" s="212"/>
      <c r="K181" s="212"/>
    </row>
    <row r="182" spans="1:9" ht="12.75">
      <c r="A182" s="42">
        <v>19</v>
      </c>
      <c r="B182" s="108" t="s">
        <v>182</v>
      </c>
      <c r="C182" s="32">
        <v>146.28</v>
      </c>
      <c r="D182" s="32">
        <v>0</v>
      </c>
      <c r="E182" s="32">
        <f t="shared" si="8"/>
        <v>146.28</v>
      </c>
      <c r="F182" s="15">
        <v>4</v>
      </c>
      <c r="G182" s="32">
        <v>0</v>
      </c>
      <c r="H182" s="16">
        <f t="shared" si="9"/>
        <v>4</v>
      </c>
      <c r="I182" s="39"/>
    </row>
    <row r="183" spans="1:8" ht="12.75">
      <c r="A183" s="21">
        <v>20</v>
      </c>
      <c r="B183" s="108" t="s">
        <v>183</v>
      </c>
      <c r="C183" s="32">
        <v>131.85</v>
      </c>
      <c r="D183" s="32">
        <v>0</v>
      </c>
      <c r="E183" s="32">
        <f t="shared" si="8"/>
        <v>131.85</v>
      </c>
      <c r="F183" s="15">
        <v>4</v>
      </c>
      <c r="G183" s="32">
        <v>0</v>
      </c>
      <c r="H183" s="16">
        <f t="shared" si="9"/>
        <v>4</v>
      </c>
    </row>
    <row r="184" spans="1:9" ht="12.75">
      <c r="A184" s="21">
        <v>21</v>
      </c>
      <c r="B184" s="108" t="s">
        <v>184</v>
      </c>
      <c r="C184" s="32">
        <v>211.52</v>
      </c>
      <c r="D184" s="32">
        <v>0</v>
      </c>
      <c r="E184" s="32">
        <f t="shared" si="8"/>
        <v>211.52</v>
      </c>
      <c r="F184" s="15">
        <v>8</v>
      </c>
      <c r="G184" s="32">
        <v>0</v>
      </c>
      <c r="H184" s="16">
        <f t="shared" si="9"/>
        <v>8</v>
      </c>
      <c r="I184" s="39"/>
    </row>
    <row r="185" spans="1:9" ht="12.75">
      <c r="A185" s="21">
        <v>22</v>
      </c>
      <c r="B185" s="108" t="s">
        <v>185</v>
      </c>
      <c r="C185" s="32">
        <v>231.64</v>
      </c>
      <c r="D185" s="32">
        <v>0</v>
      </c>
      <c r="E185" s="32">
        <f t="shared" si="8"/>
        <v>231.64</v>
      </c>
      <c r="F185" s="15">
        <v>6</v>
      </c>
      <c r="G185" s="32">
        <v>0</v>
      </c>
      <c r="H185" s="16">
        <f t="shared" si="9"/>
        <v>6</v>
      </c>
      <c r="I185" s="39"/>
    </row>
    <row r="186" spans="1:9" ht="12.75">
      <c r="A186" s="21">
        <v>23</v>
      </c>
      <c r="B186" s="108" t="s">
        <v>186</v>
      </c>
      <c r="C186" s="32">
        <v>197.75</v>
      </c>
      <c r="D186" s="32">
        <v>0</v>
      </c>
      <c r="E186" s="32">
        <f t="shared" si="8"/>
        <v>197.75</v>
      </c>
      <c r="F186" s="15">
        <v>7</v>
      </c>
      <c r="G186" s="32">
        <v>0</v>
      </c>
      <c r="H186" s="16">
        <f t="shared" si="9"/>
        <v>7</v>
      </c>
      <c r="I186" s="39"/>
    </row>
    <row r="187" spans="1:9" ht="13.5" thickBot="1">
      <c r="A187" s="21">
        <v>24</v>
      </c>
      <c r="B187" s="108" t="s">
        <v>187</v>
      </c>
      <c r="C187" s="32">
        <v>440.4</v>
      </c>
      <c r="D187" s="32">
        <v>0</v>
      </c>
      <c r="E187" s="32">
        <f t="shared" si="8"/>
        <v>440.4</v>
      </c>
      <c r="F187" s="15">
        <v>18</v>
      </c>
      <c r="G187" s="32">
        <v>0</v>
      </c>
      <c r="H187" s="16">
        <f t="shared" si="9"/>
        <v>18</v>
      </c>
      <c r="I187" s="39"/>
    </row>
    <row r="188" spans="1:9" ht="12.75">
      <c r="A188" s="42">
        <v>25</v>
      </c>
      <c r="B188" s="108" t="s">
        <v>188</v>
      </c>
      <c r="C188" s="32">
        <v>1175.78</v>
      </c>
      <c r="D188" s="32">
        <v>83.9</v>
      </c>
      <c r="E188" s="32">
        <f t="shared" si="8"/>
        <v>1259.68</v>
      </c>
      <c r="F188" s="15">
        <v>43</v>
      </c>
      <c r="G188" s="15">
        <v>3</v>
      </c>
      <c r="H188" s="16">
        <f t="shared" si="9"/>
        <v>46</v>
      </c>
      <c r="I188" s="39"/>
    </row>
    <row r="189" spans="1:9" ht="12.75">
      <c r="A189" s="21">
        <v>26</v>
      </c>
      <c r="B189" s="108" t="s">
        <v>189</v>
      </c>
      <c r="C189" s="32">
        <v>192.9</v>
      </c>
      <c r="D189" s="32">
        <v>0</v>
      </c>
      <c r="E189" s="32">
        <f t="shared" si="8"/>
        <v>192.9</v>
      </c>
      <c r="F189" s="15">
        <v>5</v>
      </c>
      <c r="G189" s="32">
        <v>0</v>
      </c>
      <c r="H189" s="16">
        <f t="shared" si="9"/>
        <v>5</v>
      </c>
      <c r="I189" s="39"/>
    </row>
    <row r="190" spans="1:9" ht="13.5" thickBot="1">
      <c r="A190" s="21">
        <v>27</v>
      </c>
      <c r="B190" s="108" t="s">
        <v>190</v>
      </c>
      <c r="C190" s="32">
        <v>104.2</v>
      </c>
      <c r="D190" s="32">
        <v>0</v>
      </c>
      <c r="E190" s="32">
        <f t="shared" si="8"/>
        <v>104.2</v>
      </c>
      <c r="F190" s="15">
        <v>3</v>
      </c>
      <c r="G190" s="32">
        <v>0</v>
      </c>
      <c r="H190" s="16">
        <f t="shared" si="9"/>
        <v>3</v>
      </c>
      <c r="I190" s="39"/>
    </row>
    <row r="191" spans="1:11" s="12" customFormat="1" ht="23.25" customHeight="1" thickBot="1">
      <c r="A191" s="209"/>
      <c r="B191" s="210"/>
      <c r="C191" s="81">
        <f aca="true" t="shared" si="10" ref="C191:H191">SUM(C164:C190)</f>
        <v>8729.610000000002</v>
      </c>
      <c r="D191" s="81">
        <f t="shared" si="10"/>
        <v>461.45000000000005</v>
      </c>
      <c r="E191" s="81">
        <f t="shared" si="10"/>
        <v>9191.060000000001</v>
      </c>
      <c r="F191" s="111">
        <f t="shared" si="10"/>
        <v>279</v>
      </c>
      <c r="G191" s="111">
        <f t="shared" si="10"/>
        <v>12</v>
      </c>
      <c r="H191" s="112">
        <f t="shared" si="10"/>
        <v>291</v>
      </c>
      <c r="I191" s="211"/>
      <c r="J191" s="212"/>
      <c r="K191" s="212"/>
    </row>
    <row r="194" spans="1:14" ht="13.5" thickBot="1">
      <c r="A194" s="213" t="s">
        <v>191</v>
      </c>
      <c r="B194" s="213"/>
      <c r="C194" s="213"/>
      <c r="D194" s="213"/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</row>
    <row r="195" spans="1:14" ht="12.75">
      <c r="A195" s="171" t="s">
        <v>0</v>
      </c>
      <c r="B195" s="195" t="s">
        <v>115</v>
      </c>
      <c r="C195" s="178" t="s">
        <v>192</v>
      </c>
      <c r="D195" s="179"/>
      <c r="E195" s="178" t="s">
        <v>193</v>
      </c>
      <c r="F195" s="179"/>
      <c r="G195" s="200" t="s">
        <v>194</v>
      </c>
      <c r="H195" s="178" t="s">
        <v>195</v>
      </c>
      <c r="I195" s="179"/>
      <c r="J195" s="96"/>
      <c r="K195" s="200" t="s">
        <v>196</v>
      </c>
      <c r="L195" s="178" t="s">
        <v>124</v>
      </c>
      <c r="M195" s="179"/>
      <c r="N195" s="198" t="s">
        <v>197</v>
      </c>
    </row>
    <row r="196" spans="1:14" ht="13.5" thickBot="1">
      <c r="A196" s="214"/>
      <c r="B196" s="215"/>
      <c r="C196" s="97" t="s">
        <v>198</v>
      </c>
      <c r="D196" s="97" t="s">
        <v>199</v>
      </c>
      <c r="E196" s="97" t="s">
        <v>198</v>
      </c>
      <c r="F196" s="97" t="s">
        <v>199</v>
      </c>
      <c r="G196" s="215"/>
      <c r="H196" s="97" t="s">
        <v>198</v>
      </c>
      <c r="I196" s="97" t="s">
        <v>199</v>
      </c>
      <c r="J196" s="97"/>
      <c r="K196" s="215"/>
      <c r="L196" s="97" t="s">
        <v>198</v>
      </c>
      <c r="M196" s="97" t="s">
        <v>199</v>
      </c>
      <c r="N196" s="217"/>
    </row>
    <row r="197" spans="1:14" ht="13.5" thickBot="1">
      <c r="A197" s="113">
        <v>1</v>
      </c>
      <c r="B197" s="114"/>
      <c r="C197" s="98"/>
      <c r="D197" s="98"/>
      <c r="E197" s="114"/>
      <c r="F197" s="98"/>
      <c r="G197" s="98"/>
      <c r="H197" s="114"/>
      <c r="I197" s="98"/>
      <c r="J197" s="98"/>
      <c r="K197" s="114"/>
      <c r="L197" s="98"/>
      <c r="M197" s="98"/>
      <c r="N197" s="115"/>
    </row>
    <row r="198" spans="1:14" ht="13.5" thickBot="1">
      <c r="A198" s="113">
        <v>1</v>
      </c>
      <c r="B198" s="116" t="s">
        <v>200</v>
      </c>
      <c r="C198" s="117">
        <v>329.8</v>
      </c>
      <c r="D198" s="98"/>
      <c r="E198" s="114"/>
      <c r="F198" s="98"/>
      <c r="G198" s="117">
        <v>329.8</v>
      </c>
      <c r="H198" s="114">
        <v>8</v>
      </c>
      <c r="I198" s="98"/>
      <c r="J198" s="98"/>
      <c r="K198" s="114">
        <v>8</v>
      </c>
      <c r="L198" s="98"/>
      <c r="M198" s="98"/>
      <c r="N198" s="115"/>
    </row>
    <row r="199" spans="1:14" ht="12.75">
      <c r="A199" s="99">
        <v>2</v>
      </c>
      <c r="B199" s="118" t="s">
        <v>201</v>
      </c>
      <c r="C199" s="119">
        <f>952.25-16.4+8.39-82.27-27-28.25-61</f>
        <v>745.72</v>
      </c>
      <c r="D199" s="119">
        <v>0</v>
      </c>
      <c r="E199" s="119">
        <v>0</v>
      </c>
      <c r="F199" s="119">
        <v>0</v>
      </c>
      <c r="G199" s="120">
        <f>C199</f>
        <v>745.72</v>
      </c>
      <c r="H199" s="100">
        <f>23-1-1-1-1+1</f>
        <v>20</v>
      </c>
      <c r="I199" s="119">
        <v>0</v>
      </c>
      <c r="J199" s="119"/>
      <c r="K199" s="101">
        <f>H199</f>
        <v>20</v>
      </c>
      <c r="L199" s="119">
        <v>0</v>
      </c>
      <c r="M199" s="119">
        <v>0</v>
      </c>
      <c r="N199" s="121">
        <f>L199+M199</f>
        <v>0</v>
      </c>
    </row>
    <row r="200" spans="1:14" ht="12.75">
      <c r="A200" s="122">
        <v>3</v>
      </c>
      <c r="B200" s="4" t="s">
        <v>202</v>
      </c>
      <c r="C200" s="7">
        <f>270.95-95.5</f>
        <v>175.45</v>
      </c>
      <c r="D200" s="123">
        <v>0</v>
      </c>
      <c r="E200" s="123">
        <v>0</v>
      </c>
      <c r="F200" s="123">
        <v>0</v>
      </c>
      <c r="G200" s="124">
        <f>C200+E200</f>
        <v>175.45</v>
      </c>
      <c r="H200" s="15">
        <f>8-2</f>
        <v>6</v>
      </c>
      <c r="I200" s="123">
        <v>0</v>
      </c>
      <c r="J200" s="123"/>
      <c r="K200" s="125">
        <f>SUM(H200:I200)</f>
        <v>6</v>
      </c>
      <c r="L200" s="123">
        <v>0</v>
      </c>
      <c r="M200" s="123">
        <v>0</v>
      </c>
      <c r="N200" s="126">
        <f>SUM(L200:M200)</f>
        <v>0</v>
      </c>
    </row>
    <row r="201" spans="1:14" ht="13.5" thickBot="1">
      <c r="A201" s="122">
        <v>4</v>
      </c>
      <c r="B201" s="3" t="s">
        <v>203</v>
      </c>
      <c r="C201" s="7">
        <f>283.66-51.4</f>
        <v>232.26000000000002</v>
      </c>
      <c r="D201" s="7">
        <v>0</v>
      </c>
      <c r="E201" s="7">
        <v>0</v>
      </c>
      <c r="F201" s="7">
        <v>0</v>
      </c>
      <c r="G201" s="7">
        <f>C201+E201</f>
        <v>232.26000000000002</v>
      </c>
      <c r="H201" s="15">
        <v>6</v>
      </c>
      <c r="I201" s="127">
        <v>0</v>
      </c>
      <c r="J201" s="127"/>
      <c r="K201" s="15">
        <v>6</v>
      </c>
      <c r="L201" s="31">
        <v>0</v>
      </c>
      <c r="M201" s="31">
        <v>0</v>
      </c>
      <c r="N201" s="128">
        <f>SUM(L201:M201)</f>
        <v>0</v>
      </c>
    </row>
    <row r="202" spans="1:14" ht="13.5" thickBot="1">
      <c r="A202" s="113">
        <v>5</v>
      </c>
      <c r="B202" s="3" t="s">
        <v>204</v>
      </c>
      <c r="C202" s="7">
        <f>404.78-50.06-49.69-36.48</f>
        <v>268.54999999999995</v>
      </c>
      <c r="D202" s="7">
        <v>0</v>
      </c>
      <c r="E202" s="7">
        <v>0</v>
      </c>
      <c r="F202" s="7">
        <v>0</v>
      </c>
      <c r="G202" s="7">
        <f>C202+E202</f>
        <v>268.54999999999995</v>
      </c>
      <c r="H202" s="15">
        <f>9-1-1-1</f>
        <v>6</v>
      </c>
      <c r="I202" s="127">
        <v>0</v>
      </c>
      <c r="J202" s="127"/>
      <c r="K202" s="15">
        <f>SUM(H202:I202)</f>
        <v>6</v>
      </c>
      <c r="L202" s="31">
        <v>0</v>
      </c>
      <c r="M202" s="31">
        <v>0</v>
      </c>
      <c r="N202" s="128">
        <f>SUM(L202:M202)</f>
        <v>0</v>
      </c>
    </row>
    <row r="203" spans="1:14" ht="12.75">
      <c r="A203" s="99">
        <v>6</v>
      </c>
      <c r="B203" s="3" t="s">
        <v>205</v>
      </c>
      <c r="C203" s="7">
        <f>128-38</f>
        <v>90</v>
      </c>
      <c r="D203" s="7">
        <v>0</v>
      </c>
      <c r="E203" s="7">
        <v>0</v>
      </c>
      <c r="F203" s="7">
        <v>0</v>
      </c>
      <c r="G203" s="7">
        <f aca="true" t="shared" si="11" ref="G203:G240">C203+E203</f>
        <v>90</v>
      </c>
      <c r="H203" s="15">
        <f>4-1</f>
        <v>3</v>
      </c>
      <c r="I203" s="127">
        <v>0</v>
      </c>
      <c r="J203" s="127"/>
      <c r="K203" s="15">
        <f aca="true" t="shared" si="12" ref="K203:K240">SUM(H203:I203)</f>
        <v>3</v>
      </c>
      <c r="L203" s="31">
        <v>0</v>
      </c>
      <c r="M203" s="31">
        <v>0</v>
      </c>
      <c r="N203" s="128">
        <f aca="true" t="shared" si="13" ref="N203:N240">SUM(L203:M203)</f>
        <v>0</v>
      </c>
    </row>
    <row r="204" spans="1:14" ht="12.75">
      <c r="A204" s="122">
        <v>7</v>
      </c>
      <c r="B204" s="3" t="s">
        <v>206</v>
      </c>
      <c r="C204" s="7">
        <f>134.47-60.5-35.97</f>
        <v>38</v>
      </c>
      <c r="D204" s="7">
        <v>0</v>
      </c>
      <c r="E204" s="7">
        <v>0</v>
      </c>
      <c r="F204" s="7">
        <v>0</v>
      </c>
      <c r="G204" s="7">
        <f t="shared" si="11"/>
        <v>38</v>
      </c>
      <c r="H204" s="15">
        <f>4-1-1</f>
        <v>2</v>
      </c>
      <c r="I204" s="127">
        <v>0</v>
      </c>
      <c r="J204" s="127"/>
      <c r="K204" s="15">
        <f t="shared" si="12"/>
        <v>2</v>
      </c>
      <c r="L204" s="31">
        <v>0</v>
      </c>
      <c r="M204" s="31">
        <v>0</v>
      </c>
      <c r="N204" s="128">
        <f t="shared" si="13"/>
        <v>0</v>
      </c>
    </row>
    <row r="205" spans="1:14" ht="13.5" thickBot="1">
      <c r="A205" s="122">
        <v>8</v>
      </c>
      <c r="B205" s="4" t="s">
        <v>207</v>
      </c>
      <c r="C205" s="7">
        <f>282.36-24.25</f>
        <v>258.11</v>
      </c>
      <c r="D205" s="7">
        <v>0</v>
      </c>
      <c r="E205" s="7">
        <v>0</v>
      </c>
      <c r="F205" s="7">
        <v>0</v>
      </c>
      <c r="G205" s="7">
        <f t="shared" si="11"/>
        <v>258.11</v>
      </c>
      <c r="H205" s="15">
        <f>11-1-1-1+2</f>
        <v>10</v>
      </c>
      <c r="I205" s="127">
        <v>0</v>
      </c>
      <c r="J205" s="127"/>
      <c r="K205" s="15">
        <f t="shared" si="12"/>
        <v>10</v>
      </c>
      <c r="L205" s="31">
        <v>0</v>
      </c>
      <c r="M205" s="31">
        <v>0</v>
      </c>
      <c r="N205" s="128">
        <f t="shared" si="13"/>
        <v>0</v>
      </c>
    </row>
    <row r="206" spans="1:14" ht="13.5" thickBot="1">
      <c r="A206" s="113">
        <v>9</v>
      </c>
      <c r="B206" s="4" t="s">
        <v>208</v>
      </c>
      <c r="C206" s="7">
        <f>266.22-41.46-41.46-41.46-17.21-24.25</f>
        <v>100.38</v>
      </c>
      <c r="D206" s="7">
        <v>0</v>
      </c>
      <c r="E206" s="7">
        <v>0</v>
      </c>
      <c r="F206" s="7">
        <v>0</v>
      </c>
      <c r="G206" s="7">
        <f t="shared" si="11"/>
        <v>100.38</v>
      </c>
      <c r="H206" s="15">
        <v>4</v>
      </c>
      <c r="I206" s="127">
        <v>0</v>
      </c>
      <c r="J206" s="127"/>
      <c r="K206" s="15">
        <v>4</v>
      </c>
      <c r="L206" s="31">
        <v>0</v>
      </c>
      <c r="M206" s="31">
        <v>0</v>
      </c>
      <c r="N206" s="128">
        <f t="shared" si="13"/>
        <v>0</v>
      </c>
    </row>
    <row r="207" spans="1:14" ht="12.75">
      <c r="A207" s="99">
        <v>10</v>
      </c>
      <c r="B207" s="3" t="s">
        <v>209</v>
      </c>
      <c r="C207" s="7">
        <v>130.13</v>
      </c>
      <c r="D207" s="7">
        <v>0</v>
      </c>
      <c r="E207" s="7">
        <v>0</v>
      </c>
      <c r="F207" s="7">
        <v>0</v>
      </c>
      <c r="G207" s="7">
        <f t="shared" si="11"/>
        <v>130.13</v>
      </c>
      <c r="H207" s="15">
        <v>3</v>
      </c>
      <c r="I207" s="127">
        <v>0</v>
      </c>
      <c r="J207" s="127"/>
      <c r="K207" s="15">
        <f>SUM(H207:I207)</f>
        <v>3</v>
      </c>
      <c r="L207" s="31">
        <v>0</v>
      </c>
      <c r="M207" s="31">
        <v>0</v>
      </c>
      <c r="N207" s="128">
        <f t="shared" si="13"/>
        <v>0</v>
      </c>
    </row>
    <row r="208" spans="1:14" ht="12.75">
      <c r="A208" s="122">
        <v>11</v>
      </c>
      <c r="B208" s="129" t="s">
        <v>210</v>
      </c>
      <c r="C208" s="130">
        <f>29.7-29.7</f>
        <v>0</v>
      </c>
      <c r="D208" s="130">
        <v>0</v>
      </c>
      <c r="E208" s="130">
        <v>0</v>
      </c>
      <c r="F208" s="130">
        <v>0</v>
      </c>
      <c r="G208" s="130">
        <f t="shared" si="11"/>
        <v>0</v>
      </c>
      <c r="H208" s="131">
        <f>1-1</f>
        <v>0</v>
      </c>
      <c r="I208" s="130">
        <v>0</v>
      </c>
      <c r="J208" s="130"/>
      <c r="K208" s="131">
        <f>SUM(H208:I208)</f>
        <v>0</v>
      </c>
      <c r="L208" s="132">
        <v>0</v>
      </c>
      <c r="M208" s="132">
        <v>0</v>
      </c>
      <c r="N208" s="133">
        <f t="shared" si="13"/>
        <v>0</v>
      </c>
    </row>
    <row r="209" spans="1:14" ht="13.5" thickBot="1">
      <c r="A209" s="122">
        <v>12</v>
      </c>
      <c r="B209" s="3" t="s">
        <v>211</v>
      </c>
      <c r="C209" s="127">
        <f>199-17.2</f>
        <v>181.8</v>
      </c>
      <c r="D209" s="127">
        <v>0</v>
      </c>
      <c r="E209" s="127">
        <v>0</v>
      </c>
      <c r="F209" s="127">
        <v>0</v>
      </c>
      <c r="G209" s="127">
        <f t="shared" si="11"/>
        <v>181.8</v>
      </c>
      <c r="H209" s="15">
        <v>5</v>
      </c>
      <c r="I209" s="127">
        <v>0</v>
      </c>
      <c r="J209" s="127"/>
      <c r="K209" s="15">
        <v>5</v>
      </c>
      <c r="L209" s="31">
        <v>0</v>
      </c>
      <c r="M209" s="31">
        <v>0</v>
      </c>
      <c r="N209" s="128">
        <f t="shared" si="13"/>
        <v>0</v>
      </c>
    </row>
    <row r="210" spans="1:14" ht="13.5" thickBot="1">
      <c r="A210" s="113">
        <v>13</v>
      </c>
      <c r="B210" s="3" t="s">
        <v>212</v>
      </c>
      <c r="C210" s="127">
        <f>33.5-22.5-11</f>
        <v>0</v>
      </c>
      <c r="D210" s="127">
        <v>0</v>
      </c>
      <c r="E210" s="127">
        <v>0</v>
      </c>
      <c r="F210" s="127">
        <v>0</v>
      </c>
      <c r="G210" s="127">
        <v>0</v>
      </c>
      <c r="H210" s="15">
        <v>0</v>
      </c>
      <c r="I210" s="134" t="s">
        <v>213</v>
      </c>
      <c r="J210" s="127"/>
      <c r="K210" s="15">
        <v>0</v>
      </c>
      <c r="L210" s="31"/>
      <c r="M210" s="31" t="s">
        <v>213</v>
      </c>
      <c r="N210" s="128"/>
    </row>
    <row r="211" spans="1:14" ht="12.75">
      <c r="A211" s="99">
        <v>14</v>
      </c>
      <c r="B211" s="4" t="s">
        <v>214</v>
      </c>
      <c r="C211" s="7">
        <f>578.46-193.52-31.58-31.58-17.85-46.12-31.58-31.58-33.76-46.12</f>
        <v>114.7700000000001</v>
      </c>
      <c r="D211" s="7">
        <v>0</v>
      </c>
      <c r="E211" s="7">
        <v>0</v>
      </c>
      <c r="F211" s="7">
        <v>0</v>
      </c>
      <c r="G211" s="7">
        <f t="shared" si="11"/>
        <v>114.7700000000001</v>
      </c>
      <c r="H211" s="15">
        <f>12-1-1-1-1-1-1-2</f>
        <v>4</v>
      </c>
      <c r="I211" s="127">
        <v>0</v>
      </c>
      <c r="J211" s="127"/>
      <c r="K211" s="15">
        <f t="shared" si="12"/>
        <v>4</v>
      </c>
      <c r="L211" s="31">
        <v>0</v>
      </c>
      <c r="M211" s="31">
        <v>0</v>
      </c>
      <c r="N211" s="128">
        <f t="shared" si="13"/>
        <v>0</v>
      </c>
    </row>
    <row r="212" spans="1:14" ht="12.75">
      <c r="A212" s="122">
        <v>15</v>
      </c>
      <c r="B212" s="4" t="s">
        <v>215</v>
      </c>
      <c r="C212" s="7">
        <v>45.5</v>
      </c>
      <c r="D212" s="7"/>
      <c r="E212" s="7"/>
      <c r="F212" s="7"/>
      <c r="G212" s="7">
        <f t="shared" si="11"/>
        <v>45.5</v>
      </c>
      <c r="H212" s="15">
        <v>1</v>
      </c>
      <c r="I212" s="127"/>
      <c r="J212" s="127"/>
      <c r="K212" s="15">
        <f t="shared" si="12"/>
        <v>1</v>
      </c>
      <c r="L212" s="31"/>
      <c r="M212" s="31"/>
      <c r="N212" s="128"/>
    </row>
    <row r="213" spans="1:14" ht="13.5" thickBot="1">
      <c r="A213" s="122">
        <v>16</v>
      </c>
      <c r="B213" s="4" t="s">
        <v>216</v>
      </c>
      <c r="C213" s="7">
        <v>42</v>
      </c>
      <c r="D213" s="7"/>
      <c r="E213" s="7"/>
      <c r="F213" s="7"/>
      <c r="G213" s="7">
        <v>42</v>
      </c>
      <c r="H213" s="15">
        <v>1</v>
      </c>
      <c r="I213" s="127"/>
      <c r="J213" s="127"/>
      <c r="K213" s="15">
        <v>1</v>
      </c>
      <c r="L213" s="31"/>
      <c r="M213" s="31"/>
      <c r="N213" s="128"/>
    </row>
    <row r="214" spans="1:14" ht="13.5" thickBot="1">
      <c r="A214" s="113">
        <v>17</v>
      </c>
      <c r="B214" s="4" t="s">
        <v>217</v>
      </c>
      <c r="C214" s="7">
        <f>406.39-217.85-46</f>
        <v>142.54</v>
      </c>
      <c r="D214" s="7"/>
      <c r="E214" s="7"/>
      <c r="F214" s="7"/>
      <c r="G214" s="7">
        <f t="shared" si="11"/>
        <v>142.54</v>
      </c>
      <c r="H214" s="15">
        <v>3</v>
      </c>
      <c r="I214" s="127"/>
      <c r="J214" s="127"/>
      <c r="K214" s="15">
        <f t="shared" si="12"/>
        <v>3</v>
      </c>
      <c r="L214" s="31"/>
      <c r="M214" s="31"/>
      <c r="N214" s="128"/>
    </row>
    <row r="215" spans="1:14" ht="12.75">
      <c r="A215" s="99">
        <v>18</v>
      </c>
      <c r="B215" s="4" t="s">
        <v>218</v>
      </c>
      <c r="C215" s="7">
        <f>590.09-58-55</f>
        <v>477.09000000000003</v>
      </c>
      <c r="D215" s="7"/>
      <c r="E215" s="7"/>
      <c r="F215" s="7"/>
      <c r="G215" s="7">
        <f>590.09-58-55</f>
        <v>477.09000000000003</v>
      </c>
      <c r="H215" s="15">
        <f>23-1-1-1-1-1-1-1-1-1-1-1-1</f>
        <v>11</v>
      </c>
      <c r="I215" s="127"/>
      <c r="J215" s="127"/>
      <c r="K215" s="15">
        <f>13-1-1</f>
        <v>11</v>
      </c>
      <c r="L215" s="31"/>
      <c r="M215" s="31"/>
      <c r="N215" s="128"/>
    </row>
    <row r="216" spans="1:14" ht="12.75">
      <c r="A216" s="122">
        <v>19</v>
      </c>
      <c r="B216" s="3" t="s">
        <v>219</v>
      </c>
      <c r="C216" s="7">
        <v>231.2</v>
      </c>
      <c r="D216" s="7">
        <v>0</v>
      </c>
      <c r="E216" s="7">
        <v>0</v>
      </c>
      <c r="F216" s="7">
        <v>0</v>
      </c>
      <c r="G216" s="7">
        <f t="shared" si="11"/>
        <v>231.2</v>
      </c>
      <c r="H216" s="15">
        <v>5</v>
      </c>
      <c r="I216" s="127">
        <v>0</v>
      </c>
      <c r="J216" s="127"/>
      <c r="K216" s="15">
        <f t="shared" si="12"/>
        <v>5</v>
      </c>
      <c r="L216" s="31">
        <v>0</v>
      </c>
      <c r="M216" s="31">
        <v>0</v>
      </c>
      <c r="N216" s="128">
        <f t="shared" si="13"/>
        <v>0</v>
      </c>
    </row>
    <row r="217" spans="1:14" ht="13.5" thickBot="1">
      <c r="A217" s="122">
        <v>20</v>
      </c>
      <c r="B217" s="3" t="s">
        <v>220</v>
      </c>
      <c r="C217" s="7">
        <f>296.91-37.46-27.6-39.71-37.46</f>
        <v>154.68000000000004</v>
      </c>
      <c r="D217" s="7">
        <v>0</v>
      </c>
      <c r="E217" s="7">
        <v>82.44</v>
      </c>
      <c r="F217" s="7">
        <v>0</v>
      </c>
      <c r="G217" s="7">
        <f t="shared" si="11"/>
        <v>237.12000000000003</v>
      </c>
      <c r="H217" s="15">
        <v>4</v>
      </c>
      <c r="I217" s="127">
        <v>0</v>
      </c>
      <c r="J217" s="127"/>
      <c r="K217" s="15">
        <f t="shared" si="12"/>
        <v>4</v>
      </c>
      <c r="L217" s="15">
        <v>1</v>
      </c>
      <c r="M217" s="31">
        <v>0</v>
      </c>
      <c r="N217" s="16">
        <f t="shared" si="13"/>
        <v>1</v>
      </c>
    </row>
    <row r="218" spans="1:14" ht="13.5" thickBot="1">
      <c r="A218" s="113">
        <v>21</v>
      </c>
      <c r="B218" s="3" t="s">
        <v>221</v>
      </c>
      <c r="C218" s="7">
        <f>1823.44-23.9-34.3-351.91-13.28-18.02-31.5-34-20-57-46.83-38.2-39.3-45.6-46-58.2-57.13-32.8</f>
        <v>875.4700000000001</v>
      </c>
      <c r="D218" s="7">
        <v>0</v>
      </c>
      <c r="E218" s="7">
        <f>55.69-43.29</f>
        <v>12.399999999999999</v>
      </c>
      <c r="F218" s="7">
        <v>0</v>
      </c>
      <c r="G218" s="7">
        <f t="shared" si="11"/>
        <v>887.8700000000001</v>
      </c>
      <c r="H218" s="15">
        <f>47-2-9-1-1-1-1-1-1-1-1-1-1-1-1-1</f>
        <v>23</v>
      </c>
      <c r="I218" s="127">
        <v>0</v>
      </c>
      <c r="J218" s="127"/>
      <c r="K218" s="15">
        <f t="shared" si="12"/>
        <v>23</v>
      </c>
      <c r="L218" s="15">
        <f>3-1</f>
        <v>2</v>
      </c>
      <c r="M218" s="31">
        <v>0</v>
      </c>
      <c r="N218" s="16">
        <f t="shared" si="13"/>
        <v>2</v>
      </c>
    </row>
    <row r="219" spans="1:14" ht="12.75">
      <c r="A219" s="99">
        <v>22</v>
      </c>
      <c r="B219" s="3" t="s">
        <v>222</v>
      </c>
      <c r="C219" s="7">
        <f>282.48-66.23-32.2</f>
        <v>184.05</v>
      </c>
      <c r="D219" s="7">
        <v>0</v>
      </c>
      <c r="E219" s="7">
        <v>0</v>
      </c>
      <c r="F219" s="7">
        <v>0</v>
      </c>
      <c r="G219" s="7">
        <f t="shared" si="11"/>
        <v>184.05</v>
      </c>
      <c r="H219" s="15">
        <f>7-1-1</f>
        <v>5</v>
      </c>
      <c r="I219" s="134">
        <v>0</v>
      </c>
      <c r="J219" s="134"/>
      <c r="K219" s="15">
        <f t="shared" si="12"/>
        <v>5</v>
      </c>
      <c r="L219" s="31">
        <v>0</v>
      </c>
      <c r="M219" s="31">
        <v>0</v>
      </c>
      <c r="N219" s="128">
        <f t="shared" si="13"/>
        <v>0</v>
      </c>
    </row>
    <row r="220" spans="1:14" ht="12.75">
      <c r="A220" s="122">
        <v>23</v>
      </c>
      <c r="B220" s="3" t="s">
        <v>223</v>
      </c>
      <c r="C220" s="7">
        <f>138.85-15-40.54</f>
        <v>83.31</v>
      </c>
      <c r="D220" s="7">
        <v>0</v>
      </c>
      <c r="E220" s="7">
        <v>64</v>
      </c>
      <c r="F220" s="7">
        <v>0</v>
      </c>
      <c r="G220" s="7">
        <f t="shared" si="11"/>
        <v>147.31</v>
      </c>
      <c r="H220" s="15">
        <f>5-1-1</f>
        <v>3</v>
      </c>
      <c r="I220" s="134">
        <v>0</v>
      </c>
      <c r="J220" s="134"/>
      <c r="K220" s="15">
        <f t="shared" si="12"/>
        <v>3</v>
      </c>
      <c r="L220" s="15">
        <f>1+1-1</f>
        <v>1</v>
      </c>
      <c r="M220" s="31">
        <v>0</v>
      </c>
      <c r="N220" s="16">
        <f t="shared" si="13"/>
        <v>1</v>
      </c>
    </row>
    <row r="221" spans="1:14" ht="13.5" thickBot="1">
      <c r="A221" s="122">
        <v>24</v>
      </c>
      <c r="B221" s="3" t="s">
        <v>224</v>
      </c>
      <c r="C221" s="7">
        <v>283.72</v>
      </c>
      <c r="D221" s="7">
        <v>0</v>
      </c>
      <c r="E221" s="7">
        <v>0</v>
      </c>
      <c r="F221" s="7">
        <v>0</v>
      </c>
      <c r="G221" s="7">
        <f t="shared" si="11"/>
        <v>283.72</v>
      </c>
      <c r="H221" s="15">
        <v>7</v>
      </c>
      <c r="I221" s="134">
        <v>0</v>
      </c>
      <c r="J221" s="134"/>
      <c r="K221" s="15">
        <f t="shared" si="12"/>
        <v>7</v>
      </c>
      <c r="L221" s="31">
        <v>0</v>
      </c>
      <c r="M221" s="31">
        <v>0</v>
      </c>
      <c r="N221" s="128">
        <f t="shared" si="13"/>
        <v>0</v>
      </c>
    </row>
    <row r="222" spans="1:14" ht="13.5" thickBot="1">
      <c r="A222" s="113">
        <v>25</v>
      </c>
      <c r="B222" s="3" t="s">
        <v>225</v>
      </c>
      <c r="C222" s="127">
        <f>211.51-49.67-37.39</f>
        <v>124.44999999999997</v>
      </c>
      <c r="D222" s="127"/>
      <c r="E222" s="127">
        <v>248.81</v>
      </c>
      <c r="F222" s="127"/>
      <c r="G222" s="127">
        <f t="shared" si="11"/>
        <v>373.26</v>
      </c>
      <c r="H222" s="15">
        <f>7-2-1-1</f>
        <v>3</v>
      </c>
      <c r="I222" s="134">
        <v>0</v>
      </c>
      <c r="J222" s="134"/>
      <c r="K222" s="15">
        <v>3</v>
      </c>
      <c r="L222" s="135">
        <v>4</v>
      </c>
      <c r="M222" s="31">
        <v>0</v>
      </c>
      <c r="N222" s="136">
        <f t="shared" si="13"/>
        <v>4</v>
      </c>
    </row>
    <row r="223" spans="1:14" ht="12.75">
      <c r="A223" s="99">
        <v>26</v>
      </c>
      <c r="B223" s="3" t="s">
        <v>226</v>
      </c>
      <c r="C223" s="7">
        <f>274.34-49.56</f>
        <v>224.77999999999997</v>
      </c>
      <c r="D223" s="7">
        <v>0</v>
      </c>
      <c r="E223" s="7">
        <v>0</v>
      </c>
      <c r="F223" s="7">
        <v>0</v>
      </c>
      <c r="G223" s="7">
        <f>C223</f>
        <v>224.77999999999997</v>
      </c>
      <c r="H223" s="15">
        <f>6-1</f>
        <v>5</v>
      </c>
      <c r="I223" s="134">
        <v>0</v>
      </c>
      <c r="J223" s="134"/>
      <c r="K223" s="15">
        <f>H223</f>
        <v>5</v>
      </c>
      <c r="L223" s="135">
        <v>0</v>
      </c>
      <c r="M223" s="31">
        <v>0</v>
      </c>
      <c r="N223" s="136">
        <v>0</v>
      </c>
    </row>
    <row r="224" spans="1:14" ht="12.75">
      <c r="A224" s="122">
        <v>27</v>
      </c>
      <c r="B224" s="3" t="s">
        <v>227</v>
      </c>
      <c r="C224" s="7">
        <f>294.46-33.72-0.23-34.13-36.42-46.35-45.74-24.28</f>
        <v>73.58999999999997</v>
      </c>
      <c r="D224" s="7">
        <v>0</v>
      </c>
      <c r="E224" s="7">
        <v>0</v>
      </c>
      <c r="F224" s="7">
        <v>0</v>
      </c>
      <c r="G224" s="7">
        <f t="shared" si="11"/>
        <v>73.58999999999997</v>
      </c>
      <c r="H224" s="15">
        <f>8-1-1-1-1-1-1</f>
        <v>2</v>
      </c>
      <c r="I224" s="134">
        <v>0</v>
      </c>
      <c r="J224" s="134"/>
      <c r="K224" s="15">
        <f t="shared" si="12"/>
        <v>2</v>
      </c>
      <c r="L224" s="31">
        <v>0</v>
      </c>
      <c r="M224" s="31">
        <v>0</v>
      </c>
      <c r="N224" s="128">
        <f t="shared" si="13"/>
        <v>0</v>
      </c>
    </row>
    <row r="225" spans="1:14" ht="13.5" thickBot="1">
      <c r="A225" s="122">
        <v>28</v>
      </c>
      <c r="B225" s="3" t="s">
        <v>228</v>
      </c>
      <c r="C225" s="7">
        <v>153.26</v>
      </c>
      <c r="D225" s="7"/>
      <c r="E225" s="7"/>
      <c r="F225" s="7"/>
      <c r="G225" s="7">
        <v>153.26</v>
      </c>
      <c r="H225" s="15">
        <v>4</v>
      </c>
      <c r="I225" s="134"/>
      <c r="J225" s="134"/>
      <c r="K225" s="15">
        <v>4</v>
      </c>
      <c r="L225" s="31"/>
      <c r="M225" s="31"/>
      <c r="N225" s="128"/>
    </row>
    <row r="226" spans="1:14" ht="13.5" thickBot="1">
      <c r="A226" s="113">
        <v>29</v>
      </c>
      <c r="B226" s="3" t="s">
        <v>229</v>
      </c>
      <c r="C226" s="7">
        <v>47.18</v>
      </c>
      <c r="D226" s="7"/>
      <c r="E226" s="7"/>
      <c r="F226" s="7"/>
      <c r="G226" s="7">
        <v>47.18</v>
      </c>
      <c r="H226" s="15">
        <v>1</v>
      </c>
      <c r="I226" s="134"/>
      <c r="J226" s="134"/>
      <c r="K226" s="15">
        <v>1</v>
      </c>
      <c r="L226" s="31"/>
      <c r="M226" s="31"/>
      <c r="N226" s="128"/>
    </row>
    <row r="227" spans="1:14" ht="12.75">
      <c r="A227" s="99">
        <v>30</v>
      </c>
      <c r="B227" s="3" t="s">
        <v>95</v>
      </c>
      <c r="C227" s="7">
        <v>280.21</v>
      </c>
      <c r="D227" s="7">
        <v>0</v>
      </c>
      <c r="E227" s="7">
        <v>0</v>
      </c>
      <c r="F227" s="7">
        <v>0</v>
      </c>
      <c r="G227" s="7">
        <f t="shared" si="11"/>
        <v>280.21</v>
      </c>
      <c r="H227" s="15">
        <v>7</v>
      </c>
      <c r="I227" s="134">
        <v>0</v>
      </c>
      <c r="J227" s="134"/>
      <c r="K227" s="15">
        <f t="shared" si="12"/>
        <v>7</v>
      </c>
      <c r="L227" s="31">
        <v>0</v>
      </c>
      <c r="M227" s="31">
        <v>0</v>
      </c>
      <c r="N227" s="128">
        <f t="shared" si="13"/>
        <v>0</v>
      </c>
    </row>
    <row r="228" spans="1:14" ht="12.75">
      <c r="A228" s="122">
        <v>31</v>
      </c>
      <c r="B228" s="3" t="s">
        <v>230</v>
      </c>
      <c r="C228" s="7">
        <f>710.28-37.01-37.01-37.01-37.01-37.01-27.41</f>
        <v>497.82</v>
      </c>
      <c r="D228" s="7"/>
      <c r="E228" s="7"/>
      <c r="F228" s="7"/>
      <c r="G228" s="7">
        <f t="shared" si="11"/>
        <v>497.82</v>
      </c>
      <c r="H228" s="15">
        <f>21-1-2-1-1-1</f>
        <v>15</v>
      </c>
      <c r="I228" s="134"/>
      <c r="J228" s="134"/>
      <c r="K228" s="15">
        <f t="shared" si="12"/>
        <v>15</v>
      </c>
      <c r="L228" s="31"/>
      <c r="M228" s="31"/>
      <c r="N228" s="128"/>
    </row>
    <row r="229" spans="1:14" ht="13.5" thickBot="1">
      <c r="A229" s="122">
        <v>32</v>
      </c>
      <c r="B229" s="4" t="s">
        <v>231</v>
      </c>
      <c r="C229" s="7">
        <f>934.66-37.17-38.89-37.17-47.33-47.33-216.33</f>
        <v>510.43999999999994</v>
      </c>
      <c r="D229" s="7"/>
      <c r="E229" s="7">
        <v>0</v>
      </c>
      <c r="F229" s="7">
        <v>0</v>
      </c>
      <c r="G229" s="7">
        <f t="shared" si="11"/>
        <v>510.43999999999994</v>
      </c>
      <c r="H229" s="15">
        <f>22-1-2-1-1-5</f>
        <v>12</v>
      </c>
      <c r="I229" s="134">
        <v>0</v>
      </c>
      <c r="J229" s="134"/>
      <c r="K229" s="15">
        <f t="shared" si="12"/>
        <v>12</v>
      </c>
      <c r="L229" s="31">
        <v>0</v>
      </c>
      <c r="M229" s="31">
        <v>0</v>
      </c>
      <c r="N229" s="16">
        <f>-M245</f>
        <v>0</v>
      </c>
    </row>
    <row r="230" spans="1:14" ht="13.5" thickBot="1">
      <c r="A230" s="113">
        <v>33</v>
      </c>
      <c r="B230" s="129" t="s">
        <v>232</v>
      </c>
      <c r="C230" s="130">
        <f>28.1+28.1-28.1-28.1</f>
        <v>0</v>
      </c>
      <c r="D230" s="130">
        <v>0</v>
      </c>
      <c r="E230" s="130">
        <v>0</v>
      </c>
      <c r="F230" s="130">
        <v>0</v>
      </c>
      <c r="G230" s="130">
        <f t="shared" si="11"/>
        <v>0</v>
      </c>
      <c r="H230" s="131">
        <f>1+1-1-1</f>
        <v>0</v>
      </c>
      <c r="I230" s="137"/>
      <c r="J230" s="137"/>
      <c r="K230" s="131">
        <f t="shared" si="12"/>
        <v>0</v>
      </c>
      <c r="L230" s="132">
        <v>0</v>
      </c>
      <c r="M230" s="132">
        <v>0</v>
      </c>
      <c r="N230" s="133">
        <v>0</v>
      </c>
    </row>
    <row r="231" spans="1:14" ht="12.75">
      <c r="A231" s="99">
        <v>34</v>
      </c>
      <c r="B231" s="3" t="s">
        <v>233</v>
      </c>
      <c r="C231" s="7">
        <v>0</v>
      </c>
      <c r="D231" s="7">
        <v>0</v>
      </c>
      <c r="E231" s="7">
        <v>300.72</v>
      </c>
      <c r="F231" s="7">
        <v>0</v>
      </c>
      <c r="G231" s="7">
        <f t="shared" si="11"/>
        <v>300.72</v>
      </c>
      <c r="H231" s="15" t="s">
        <v>234</v>
      </c>
      <c r="I231" s="134">
        <v>0</v>
      </c>
      <c r="J231" s="134"/>
      <c r="K231" s="15">
        <f t="shared" si="12"/>
        <v>0</v>
      </c>
      <c r="L231" s="15">
        <f>23+1</f>
        <v>24</v>
      </c>
      <c r="M231" s="31">
        <v>0</v>
      </c>
      <c r="N231" s="16">
        <f t="shared" si="13"/>
        <v>24</v>
      </c>
    </row>
    <row r="232" spans="1:14" ht="12.75">
      <c r="A232" s="122">
        <v>35</v>
      </c>
      <c r="B232" s="3" t="s">
        <v>235</v>
      </c>
      <c r="C232" s="7">
        <f>535.32-48.81-34.93-47.78-47.7-31.75-84.65</f>
        <v>239.70000000000007</v>
      </c>
      <c r="D232" s="7">
        <v>0</v>
      </c>
      <c r="E232" s="7">
        <v>0</v>
      </c>
      <c r="F232" s="7">
        <v>0</v>
      </c>
      <c r="G232" s="7">
        <f t="shared" si="11"/>
        <v>239.70000000000007</v>
      </c>
      <c r="H232" s="15">
        <v>5</v>
      </c>
      <c r="I232" s="134">
        <v>0</v>
      </c>
      <c r="J232" s="134"/>
      <c r="K232" s="15">
        <f t="shared" si="12"/>
        <v>5</v>
      </c>
      <c r="L232" s="31">
        <v>0</v>
      </c>
      <c r="M232" s="31">
        <v>0</v>
      </c>
      <c r="N232" s="128">
        <f t="shared" si="13"/>
        <v>0</v>
      </c>
    </row>
    <row r="233" spans="1:14" ht="13.5" thickBot="1">
      <c r="A233" s="122">
        <v>36</v>
      </c>
      <c r="B233" s="129" t="s">
        <v>236</v>
      </c>
      <c r="C233" s="130">
        <f>162.3-43-53.3-33-33</f>
        <v>0</v>
      </c>
      <c r="D233" s="130">
        <v>0</v>
      </c>
      <c r="E233" s="130">
        <v>0</v>
      </c>
      <c r="F233" s="130">
        <v>0</v>
      </c>
      <c r="G233" s="130">
        <f t="shared" si="11"/>
        <v>0</v>
      </c>
      <c r="H233" s="131">
        <f>4-1-1-1-1</f>
        <v>0</v>
      </c>
      <c r="I233" s="137">
        <v>0</v>
      </c>
      <c r="J233" s="137"/>
      <c r="K233" s="131">
        <f t="shared" si="12"/>
        <v>0</v>
      </c>
      <c r="L233" s="132">
        <v>0</v>
      </c>
      <c r="M233" s="132">
        <v>0</v>
      </c>
      <c r="N233" s="133">
        <f t="shared" si="13"/>
        <v>0</v>
      </c>
    </row>
    <row r="234" spans="1:14" ht="13.5" thickBot="1">
      <c r="A234" s="113">
        <v>37</v>
      </c>
      <c r="B234" s="3" t="s">
        <v>237</v>
      </c>
      <c r="C234" s="7">
        <v>31.22</v>
      </c>
      <c r="D234" s="7">
        <v>0</v>
      </c>
      <c r="E234" s="7">
        <v>0</v>
      </c>
      <c r="F234" s="7">
        <v>0</v>
      </c>
      <c r="G234" s="7">
        <f t="shared" si="11"/>
        <v>31.22</v>
      </c>
      <c r="H234" s="15">
        <v>1</v>
      </c>
      <c r="I234" s="134">
        <v>0</v>
      </c>
      <c r="J234" s="134"/>
      <c r="K234" s="15">
        <f t="shared" si="12"/>
        <v>1</v>
      </c>
      <c r="L234" s="31">
        <v>0</v>
      </c>
      <c r="M234" s="31">
        <v>0</v>
      </c>
      <c r="N234" s="128">
        <f t="shared" si="13"/>
        <v>0</v>
      </c>
    </row>
    <row r="235" spans="1:14" ht="12.75">
      <c r="A235" s="99">
        <v>38</v>
      </c>
      <c r="B235" s="4" t="s">
        <v>238</v>
      </c>
      <c r="C235" s="7">
        <f>364.59-46.12-46.12</f>
        <v>272.34999999999997</v>
      </c>
      <c r="D235" s="7">
        <v>0</v>
      </c>
      <c r="E235" s="7">
        <v>0</v>
      </c>
      <c r="F235" s="7">
        <v>0</v>
      </c>
      <c r="G235" s="7">
        <f t="shared" si="11"/>
        <v>272.34999999999997</v>
      </c>
      <c r="H235" s="15">
        <f>10-1-1</f>
        <v>8</v>
      </c>
      <c r="I235" s="134">
        <v>0</v>
      </c>
      <c r="J235" s="134"/>
      <c r="K235" s="15">
        <f t="shared" si="12"/>
        <v>8</v>
      </c>
      <c r="L235" s="31">
        <v>0</v>
      </c>
      <c r="M235" s="31">
        <v>0</v>
      </c>
      <c r="N235" s="128">
        <v>0</v>
      </c>
    </row>
    <row r="236" spans="1:14" ht="12.75">
      <c r="A236" s="122">
        <v>39</v>
      </c>
      <c r="B236" s="4" t="s">
        <v>239</v>
      </c>
      <c r="C236" s="7">
        <f>406.15-239.87</f>
        <v>166.27999999999997</v>
      </c>
      <c r="D236" s="7">
        <v>0</v>
      </c>
      <c r="E236" s="7">
        <v>0</v>
      </c>
      <c r="F236" s="7">
        <v>0</v>
      </c>
      <c r="G236" s="31">
        <f>C236+E236</f>
        <v>166.27999999999997</v>
      </c>
      <c r="H236" s="15">
        <f>9-5</f>
        <v>4</v>
      </c>
      <c r="I236" s="134">
        <v>0</v>
      </c>
      <c r="J236" s="134"/>
      <c r="K236" s="15">
        <f t="shared" si="12"/>
        <v>4</v>
      </c>
      <c r="L236" s="15">
        <v>0</v>
      </c>
      <c r="M236" s="15"/>
      <c r="N236" s="138">
        <v>0</v>
      </c>
    </row>
    <row r="237" spans="1:14" ht="13.5" thickBot="1">
      <c r="A237" s="122">
        <v>40</v>
      </c>
      <c r="B237" s="3" t="s">
        <v>240</v>
      </c>
      <c r="C237" s="7">
        <f>473.41-262.85-31.58-33.76</f>
        <v>145.22000000000003</v>
      </c>
      <c r="D237" s="7">
        <v>0</v>
      </c>
      <c r="E237" s="7">
        <v>0</v>
      </c>
      <c r="F237" s="7">
        <v>0</v>
      </c>
      <c r="G237" s="7">
        <f t="shared" si="11"/>
        <v>145.22000000000003</v>
      </c>
      <c r="H237" s="15">
        <f>13-7-1-1</f>
        <v>4</v>
      </c>
      <c r="I237" s="134">
        <v>0</v>
      </c>
      <c r="J237" s="134"/>
      <c r="K237" s="15">
        <f t="shared" si="12"/>
        <v>4</v>
      </c>
      <c r="L237" s="31">
        <v>0</v>
      </c>
      <c r="M237" s="31">
        <v>0</v>
      </c>
      <c r="N237" s="128">
        <f t="shared" si="13"/>
        <v>0</v>
      </c>
    </row>
    <row r="238" spans="1:14" ht="13.5" thickBot="1">
      <c r="A238" s="113">
        <v>41</v>
      </c>
      <c r="B238" s="3" t="s">
        <v>241</v>
      </c>
      <c r="C238" s="7">
        <f>150.5-34.65-12.8</f>
        <v>103.05</v>
      </c>
      <c r="D238" s="7">
        <v>0</v>
      </c>
      <c r="E238" s="7">
        <v>0</v>
      </c>
      <c r="F238" s="7">
        <v>0</v>
      </c>
      <c r="G238" s="7">
        <f t="shared" si="11"/>
        <v>103.05</v>
      </c>
      <c r="H238" s="15">
        <f>5-1-1</f>
        <v>3</v>
      </c>
      <c r="I238" s="134">
        <v>0</v>
      </c>
      <c r="J238" s="134"/>
      <c r="K238" s="15">
        <f t="shared" si="12"/>
        <v>3</v>
      </c>
      <c r="L238" s="31">
        <v>0</v>
      </c>
      <c r="M238" s="31">
        <v>0</v>
      </c>
      <c r="N238" s="128">
        <f t="shared" si="13"/>
        <v>0</v>
      </c>
    </row>
    <row r="239" spans="1:14" ht="12.75">
      <c r="A239" s="99">
        <v>42</v>
      </c>
      <c r="B239" s="3" t="s">
        <v>242</v>
      </c>
      <c r="C239" s="7">
        <f>258.7-62.47</f>
        <v>196.23</v>
      </c>
      <c r="D239" s="7">
        <v>0</v>
      </c>
      <c r="E239" s="7">
        <v>0</v>
      </c>
      <c r="F239" s="7">
        <v>0</v>
      </c>
      <c r="G239" s="7">
        <f t="shared" si="11"/>
        <v>196.23</v>
      </c>
      <c r="H239" s="15">
        <f>9-1-1</f>
        <v>7</v>
      </c>
      <c r="I239" s="134">
        <v>0</v>
      </c>
      <c r="J239" s="134"/>
      <c r="K239" s="15">
        <f t="shared" si="12"/>
        <v>7</v>
      </c>
      <c r="L239" s="31">
        <v>0</v>
      </c>
      <c r="M239" s="31">
        <v>0</v>
      </c>
      <c r="N239" s="128">
        <f t="shared" si="13"/>
        <v>0</v>
      </c>
    </row>
    <row r="240" spans="1:14" ht="13.5" thickBot="1">
      <c r="A240" s="122">
        <v>43</v>
      </c>
      <c r="B240" s="3" t="s">
        <v>243</v>
      </c>
      <c r="C240" s="7">
        <f>137.42-24.44-39.13</f>
        <v>73.85</v>
      </c>
      <c r="D240" s="7">
        <v>0</v>
      </c>
      <c r="E240" s="7">
        <v>0</v>
      </c>
      <c r="F240" s="7">
        <v>0</v>
      </c>
      <c r="G240" s="7">
        <f t="shared" si="11"/>
        <v>73.85</v>
      </c>
      <c r="H240" s="15">
        <f>5-1-1</f>
        <v>3</v>
      </c>
      <c r="I240" s="134">
        <v>0</v>
      </c>
      <c r="J240" s="134"/>
      <c r="K240" s="15">
        <f t="shared" si="12"/>
        <v>3</v>
      </c>
      <c r="L240" s="31">
        <v>0</v>
      </c>
      <c r="M240" s="31">
        <v>0</v>
      </c>
      <c r="N240" s="128">
        <f t="shared" si="13"/>
        <v>0</v>
      </c>
    </row>
    <row r="241" spans="1:14" ht="13.5" thickBot="1">
      <c r="A241" s="99">
        <v>44</v>
      </c>
      <c r="B241" s="139" t="s">
        <v>244</v>
      </c>
      <c r="C241" s="140">
        <f>444-32-32</f>
        <v>380</v>
      </c>
      <c r="D241" s="140">
        <v>0</v>
      </c>
      <c r="E241" s="140">
        <v>0</v>
      </c>
      <c r="F241" s="140">
        <v>0</v>
      </c>
      <c r="G241" s="141">
        <f>C241+E241</f>
        <v>380</v>
      </c>
      <c r="H241" s="17">
        <f>11-1</f>
        <v>10</v>
      </c>
      <c r="I241" s="141" t="s">
        <v>213</v>
      </c>
      <c r="J241" s="141"/>
      <c r="K241" s="17">
        <f>11-1</f>
        <v>10</v>
      </c>
      <c r="L241" s="17" t="s">
        <v>213</v>
      </c>
      <c r="M241" s="17"/>
      <c r="N241" s="142">
        <v>0</v>
      </c>
    </row>
    <row r="242" spans="1:14" ht="13.5" thickBot="1">
      <c r="A242" s="143"/>
      <c r="B242" s="144" t="s">
        <v>102</v>
      </c>
      <c r="C242" s="59">
        <f>SUM(C198:C241)</f>
        <v>8704.160000000002</v>
      </c>
      <c r="D242" s="59">
        <f>SUM(D200:D241)</f>
        <v>0</v>
      </c>
      <c r="E242" s="59">
        <f>SUM(E199:E241)</f>
        <v>708.37</v>
      </c>
      <c r="F242" s="59">
        <f>SUM(F200:F241)</f>
        <v>0</v>
      </c>
      <c r="G242" s="59">
        <f>SUM(G198:G241)</f>
        <v>9412.53</v>
      </c>
      <c r="H242" s="60">
        <v>226</v>
      </c>
      <c r="I242" s="59">
        <f>SUM(I199:I241)</f>
        <v>0</v>
      </c>
      <c r="J242" s="59"/>
      <c r="K242" s="60">
        <v>226</v>
      </c>
      <c r="L242" s="60">
        <f>SUM(L199:L241)</f>
        <v>32</v>
      </c>
      <c r="M242" s="60">
        <f>SUM(M199:M241)</f>
        <v>0</v>
      </c>
      <c r="N242" s="145">
        <f>SUM(N199:N241)</f>
        <v>32</v>
      </c>
    </row>
    <row r="245" spans="1:13" ht="12.75">
      <c r="A245" s="1" t="s">
        <v>245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ht="13.5" thickBot="1">
      <c r="A246" s="5"/>
    </row>
    <row r="247" spans="1:16" s="25" customFormat="1" ht="32.25" customHeight="1">
      <c r="A247" s="171" t="s">
        <v>0</v>
      </c>
      <c r="B247" s="195" t="s">
        <v>115</v>
      </c>
      <c r="C247" s="178" t="s">
        <v>246</v>
      </c>
      <c r="D247" s="179"/>
      <c r="E247" s="178" t="s">
        <v>247</v>
      </c>
      <c r="F247" s="179"/>
      <c r="G247" s="200" t="s">
        <v>194</v>
      </c>
      <c r="H247" s="200" t="s">
        <v>248</v>
      </c>
      <c r="I247" s="200" t="s">
        <v>249</v>
      </c>
      <c r="J247" s="200" t="s">
        <v>250</v>
      </c>
      <c r="K247" s="178" t="s">
        <v>195</v>
      </c>
      <c r="L247" s="179"/>
      <c r="M247" s="200" t="s">
        <v>196</v>
      </c>
      <c r="N247" s="178" t="s">
        <v>124</v>
      </c>
      <c r="O247" s="179"/>
      <c r="P247" s="198" t="s">
        <v>197</v>
      </c>
    </row>
    <row r="248" spans="1:16" s="12" customFormat="1" ht="34.5" customHeight="1" thickBot="1">
      <c r="A248" s="218"/>
      <c r="B248" s="219"/>
      <c r="C248" s="102" t="s">
        <v>198</v>
      </c>
      <c r="D248" s="146" t="s">
        <v>199</v>
      </c>
      <c r="E248" s="102" t="s">
        <v>198</v>
      </c>
      <c r="F248" s="146" t="s">
        <v>199</v>
      </c>
      <c r="G248" s="219"/>
      <c r="H248" s="220"/>
      <c r="I248" s="220"/>
      <c r="J248" s="219"/>
      <c r="K248" s="102" t="s">
        <v>198</v>
      </c>
      <c r="L248" s="146" t="s">
        <v>199</v>
      </c>
      <c r="M248" s="219"/>
      <c r="N248" s="102" t="s">
        <v>198</v>
      </c>
      <c r="O248" s="146" t="s">
        <v>199</v>
      </c>
      <c r="P248" s="222"/>
    </row>
    <row r="249" spans="1:16" ht="12.75">
      <c r="A249" s="42">
        <v>1</v>
      </c>
      <c r="B249" s="147" t="s">
        <v>251</v>
      </c>
      <c r="C249" s="148">
        <v>170.24</v>
      </c>
      <c r="D249" s="149">
        <v>0</v>
      </c>
      <c r="E249" s="149">
        <v>18.6</v>
      </c>
      <c r="F249" s="149">
        <v>129.07</v>
      </c>
      <c r="G249" s="150">
        <f aca="true" t="shared" si="14" ref="G249:H264">C249+E249</f>
        <v>188.84</v>
      </c>
      <c r="H249" s="150">
        <f t="shared" si="14"/>
        <v>129.07</v>
      </c>
      <c r="I249" s="150">
        <f>C249+D249+E249+F249</f>
        <v>317.90999999999997</v>
      </c>
      <c r="J249" s="151">
        <f aca="true" t="shared" si="15" ref="J249:J289">G249/I249</f>
        <v>0.5940045924947313</v>
      </c>
      <c r="K249" s="13">
        <v>3</v>
      </c>
      <c r="L249" s="13">
        <v>0</v>
      </c>
      <c r="M249" s="13">
        <f>SUM(K249:L249)</f>
        <v>3</v>
      </c>
      <c r="N249" s="13">
        <v>1</v>
      </c>
      <c r="O249" s="13">
        <v>3</v>
      </c>
      <c r="P249" s="14">
        <f>SUM(N249:O249)</f>
        <v>4</v>
      </c>
    </row>
    <row r="250" spans="1:16" ht="12.75">
      <c r="A250" s="21">
        <v>2</v>
      </c>
      <c r="B250" s="4" t="s">
        <v>252</v>
      </c>
      <c r="C250" s="127">
        <v>120.32</v>
      </c>
      <c r="D250" s="7">
        <v>200.98</v>
      </c>
      <c r="E250" s="7">
        <v>0</v>
      </c>
      <c r="F250" s="7">
        <v>0</v>
      </c>
      <c r="G250" s="31">
        <f t="shared" si="14"/>
        <v>120.32</v>
      </c>
      <c r="H250" s="31">
        <f t="shared" si="14"/>
        <v>200.98</v>
      </c>
      <c r="I250" s="31">
        <f>C250+D250+E250+F250</f>
        <v>321.29999999999995</v>
      </c>
      <c r="J250" s="152">
        <f t="shared" si="15"/>
        <v>0.3744786803610333</v>
      </c>
      <c r="K250" s="15">
        <v>5</v>
      </c>
      <c r="L250" s="15">
        <v>5</v>
      </c>
      <c r="M250" s="15">
        <f aca="true" t="shared" si="16" ref="M250:M315">SUM(K250:L250)</f>
        <v>10</v>
      </c>
      <c r="N250" s="7">
        <v>0</v>
      </c>
      <c r="O250" s="7">
        <v>0</v>
      </c>
      <c r="P250" s="16">
        <f aca="true" t="shared" si="17" ref="P250:P315">SUM(N250:O250)</f>
        <v>0</v>
      </c>
    </row>
    <row r="251" spans="1:16" ht="12.75">
      <c r="A251" s="21">
        <v>3</v>
      </c>
      <c r="B251" s="4" t="s">
        <v>253</v>
      </c>
      <c r="C251" s="127">
        <f>163.56-58.45</f>
        <v>105.11</v>
      </c>
      <c r="D251" s="7">
        <f>515.01+58.45</f>
        <v>573.46</v>
      </c>
      <c r="E251" s="7">
        <v>336.6</v>
      </c>
      <c r="F251" s="7">
        <v>0</v>
      </c>
      <c r="G251" s="31">
        <f t="shared" si="14"/>
        <v>441.71000000000004</v>
      </c>
      <c r="H251" s="31">
        <f t="shared" si="14"/>
        <v>573.46</v>
      </c>
      <c r="I251" s="31">
        <f>C251+D251+E251+F251</f>
        <v>1015.1700000000001</v>
      </c>
      <c r="J251" s="152">
        <f t="shared" si="15"/>
        <v>0.4351093905454259</v>
      </c>
      <c r="K251" s="15">
        <f>4-1</f>
        <v>3</v>
      </c>
      <c r="L251" s="15">
        <f>8+1</f>
        <v>9</v>
      </c>
      <c r="M251" s="15">
        <f t="shared" si="16"/>
        <v>12</v>
      </c>
      <c r="N251" s="153">
        <v>2</v>
      </c>
      <c r="O251" s="7">
        <v>0</v>
      </c>
      <c r="P251" s="16">
        <f t="shared" si="17"/>
        <v>2</v>
      </c>
    </row>
    <row r="252" spans="1:16" ht="13.5" thickBot="1">
      <c r="A252" s="21">
        <v>4</v>
      </c>
      <c r="B252" s="4" t="s">
        <v>254</v>
      </c>
      <c r="C252" s="127">
        <f>462.7-35.79</f>
        <v>426.90999999999997</v>
      </c>
      <c r="D252" s="7">
        <f>120.84+35.79</f>
        <v>156.63</v>
      </c>
      <c r="E252" s="7">
        <v>0</v>
      </c>
      <c r="F252" s="7">
        <v>0</v>
      </c>
      <c r="G252" s="31">
        <f t="shared" si="14"/>
        <v>426.90999999999997</v>
      </c>
      <c r="H252" s="31">
        <f t="shared" si="14"/>
        <v>156.63</v>
      </c>
      <c r="I252" s="31">
        <f aca="true" t="shared" si="18" ref="I252:I316">C252+D252+E252+F252</f>
        <v>583.54</v>
      </c>
      <c r="J252" s="152">
        <f t="shared" si="15"/>
        <v>0.7315865236316277</v>
      </c>
      <c r="K252" s="15">
        <f>16-1</f>
        <v>15</v>
      </c>
      <c r="L252" s="15">
        <f>4+1</f>
        <v>5</v>
      </c>
      <c r="M252" s="15">
        <f t="shared" si="16"/>
        <v>20</v>
      </c>
      <c r="N252" s="7">
        <v>0</v>
      </c>
      <c r="O252" s="7">
        <v>0</v>
      </c>
      <c r="P252" s="16">
        <f t="shared" si="17"/>
        <v>0</v>
      </c>
    </row>
    <row r="253" spans="1:16" ht="12.75">
      <c r="A253" s="42">
        <v>5</v>
      </c>
      <c r="B253" s="4" t="s">
        <v>255</v>
      </c>
      <c r="C253" s="127">
        <f>519.1-53.8-36.7</f>
        <v>428.6</v>
      </c>
      <c r="D253" s="7">
        <f>771.75+53.8+36.7</f>
        <v>862.25</v>
      </c>
      <c r="E253" s="7">
        <v>0</v>
      </c>
      <c r="F253" s="7">
        <v>272.8</v>
      </c>
      <c r="G253" s="31">
        <f t="shared" si="14"/>
        <v>428.6</v>
      </c>
      <c r="H253" s="31">
        <f t="shared" si="14"/>
        <v>1135.05</v>
      </c>
      <c r="I253" s="31">
        <f t="shared" si="18"/>
        <v>1563.6499999999999</v>
      </c>
      <c r="J253" s="152">
        <f t="shared" si="15"/>
        <v>0.2741022607360983</v>
      </c>
      <c r="K253" s="15">
        <f>13-1-1</f>
        <v>11</v>
      </c>
      <c r="L253" s="15">
        <f>18+1+1</f>
        <v>20</v>
      </c>
      <c r="M253" s="15">
        <f t="shared" si="16"/>
        <v>31</v>
      </c>
      <c r="N253" s="7">
        <v>0</v>
      </c>
      <c r="O253" s="15">
        <v>4</v>
      </c>
      <c r="P253" s="16">
        <f t="shared" si="17"/>
        <v>4</v>
      </c>
    </row>
    <row r="254" spans="1:16" ht="12.75">
      <c r="A254" s="21">
        <v>6</v>
      </c>
      <c r="B254" s="4" t="s">
        <v>256</v>
      </c>
      <c r="C254" s="127">
        <f>396.1-52.9-45.8-97.2-48.6-54.6-36.5-24</f>
        <v>36.50000000000006</v>
      </c>
      <c r="D254" s="7">
        <f>1078.3+52.9+45.8+97.2+48.6+54.6+36.5+24</f>
        <v>1437.8999999999999</v>
      </c>
      <c r="E254" s="7">
        <v>0</v>
      </c>
      <c r="F254" s="7">
        <v>256.12</v>
      </c>
      <c r="G254" s="31">
        <f t="shared" si="14"/>
        <v>36.50000000000006</v>
      </c>
      <c r="H254" s="31">
        <f t="shared" si="14"/>
        <v>1694.02</v>
      </c>
      <c r="I254" s="31">
        <f t="shared" si="18"/>
        <v>1730.52</v>
      </c>
      <c r="J254" s="152">
        <f t="shared" si="15"/>
        <v>0.021091926126251104</v>
      </c>
      <c r="K254" s="15">
        <f>9-1-1-2-1-1-1-1</f>
        <v>1</v>
      </c>
      <c r="L254" s="15">
        <f>25+1+1+2+1+1+1+1</f>
        <v>33</v>
      </c>
      <c r="M254" s="15">
        <f t="shared" si="16"/>
        <v>34</v>
      </c>
      <c r="N254" s="7">
        <v>0</v>
      </c>
      <c r="O254" s="15">
        <v>5</v>
      </c>
      <c r="P254" s="16">
        <f t="shared" si="17"/>
        <v>5</v>
      </c>
    </row>
    <row r="255" spans="1:16" ht="12.75">
      <c r="A255" s="21">
        <v>7</v>
      </c>
      <c r="B255" s="4" t="s">
        <v>257</v>
      </c>
      <c r="C255" s="127">
        <f>181.8-92.5</f>
        <v>89.30000000000001</v>
      </c>
      <c r="D255" s="7">
        <f>164.06+92.5</f>
        <v>256.56</v>
      </c>
      <c r="E255" s="7">
        <v>0</v>
      </c>
      <c r="F255" s="7">
        <v>0</v>
      </c>
      <c r="G255" s="31">
        <f t="shared" si="14"/>
        <v>89.30000000000001</v>
      </c>
      <c r="H255" s="31">
        <f t="shared" si="14"/>
        <v>256.56</v>
      </c>
      <c r="I255" s="31">
        <f t="shared" si="18"/>
        <v>345.86</v>
      </c>
      <c r="J255" s="152">
        <f t="shared" si="15"/>
        <v>0.25819695830682937</v>
      </c>
      <c r="K255" s="15">
        <f>4-2</f>
        <v>2</v>
      </c>
      <c r="L255" s="15">
        <f>2+2</f>
        <v>4</v>
      </c>
      <c r="M255" s="15">
        <f t="shared" si="16"/>
        <v>6</v>
      </c>
      <c r="N255" s="7">
        <v>0</v>
      </c>
      <c r="O255" s="7">
        <v>0</v>
      </c>
      <c r="P255" s="16">
        <f t="shared" si="17"/>
        <v>0</v>
      </c>
    </row>
    <row r="256" spans="1:16" ht="13.5" thickBot="1">
      <c r="A256" s="21">
        <v>8</v>
      </c>
      <c r="B256" s="4" t="s">
        <v>258</v>
      </c>
      <c r="C256" s="127">
        <f>214.11-57.42-21.87</f>
        <v>134.82</v>
      </c>
      <c r="D256" s="7">
        <f>127.6+57.42+21.87</f>
        <v>206.89</v>
      </c>
      <c r="E256" s="7">
        <v>0</v>
      </c>
      <c r="F256" s="7">
        <v>0</v>
      </c>
      <c r="G256" s="31">
        <f t="shared" si="14"/>
        <v>134.82</v>
      </c>
      <c r="H256" s="31">
        <f t="shared" si="14"/>
        <v>206.89</v>
      </c>
      <c r="I256" s="31">
        <f t="shared" si="18"/>
        <v>341.71</v>
      </c>
      <c r="J256" s="152">
        <f t="shared" si="15"/>
        <v>0.39454508208714995</v>
      </c>
      <c r="K256" s="15">
        <v>4</v>
      </c>
      <c r="L256" s="15">
        <v>5</v>
      </c>
      <c r="M256" s="15">
        <f t="shared" si="16"/>
        <v>9</v>
      </c>
      <c r="N256" s="7">
        <v>0</v>
      </c>
      <c r="O256" s="7">
        <v>0</v>
      </c>
      <c r="P256" s="16">
        <f t="shared" si="17"/>
        <v>0</v>
      </c>
    </row>
    <row r="257" spans="1:16" ht="12.75">
      <c r="A257" s="42">
        <v>9</v>
      </c>
      <c r="B257" s="4" t="s">
        <v>259</v>
      </c>
      <c r="C257" s="127"/>
      <c r="D257" s="127">
        <v>3571.84</v>
      </c>
      <c r="E257" s="7"/>
      <c r="F257" s="7"/>
      <c r="G257" s="31"/>
      <c r="H257" s="31">
        <v>3571.84</v>
      </c>
      <c r="I257" s="31"/>
      <c r="J257" s="152">
        <v>0</v>
      </c>
      <c r="K257" s="15"/>
      <c r="L257" s="15">
        <v>60</v>
      </c>
      <c r="M257" s="15">
        <v>60</v>
      </c>
      <c r="N257" s="7"/>
      <c r="O257" s="7"/>
      <c r="P257" s="16"/>
    </row>
    <row r="258" spans="1:16" ht="12.75">
      <c r="A258" s="21">
        <v>10</v>
      </c>
      <c r="B258" s="4" t="s">
        <v>260</v>
      </c>
      <c r="C258" s="127">
        <f>346.41+3.54-77.4-40-60</f>
        <v>172.55000000000007</v>
      </c>
      <c r="D258" s="7">
        <f>101.61+77.4+40+60</f>
        <v>279.01</v>
      </c>
      <c r="E258" s="7">
        <v>0</v>
      </c>
      <c r="F258" s="7">
        <v>0</v>
      </c>
      <c r="G258" s="31">
        <f t="shared" si="14"/>
        <v>172.55000000000007</v>
      </c>
      <c r="H258" s="31">
        <f t="shared" si="14"/>
        <v>279.01</v>
      </c>
      <c r="I258" s="31">
        <f t="shared" si="18"/>
        <v>451.56000000000006</v>
      </c>
      <c r="J258" s="152">
        <f t="shared" si="15"/>
        <v>0.3821197626007619</v>
      </c>
      <c r="K258" s="15">
        <f>8-1-1-1</f>
        <v>5</v>
      </c>
      <c r="L258" s="15">
        <f>2+1+1+1</f>
        <v>5</v>
      </c>
      <c r="M258" s="15">
        <f t="shared" si="16"/>
        <v>10</v>
      </c>
      <c r="N258" s="7">
        <v>0</v>
      </c>
      <c r="O258" s="7">
        <v>0</v>
      </c>
      <c r="P258" s="16">
        <f t="shared" si="17"/>
        <v>0</v>
      </c>
    </row>
    <row r="259" spans="1:16" ht="12.75">
      <c r="A259" s="21">
        <v>11</v>
      </c>
      <c r="B259" s="4" t="s">
        <v>261</v>
      </c>
      <c r="C259" s="127">
        <f>284.4-46.79-24.12-36.53-36.22</f>
        <v>140.73999999999998</v>
      </c>
      <c r="D259" s="7">
        <f>237.91+46.79+24.12+36.53+36.22</f>
        <v>381.57000000000005</v>
      </c>
      <c r="E259" s="7"/>
      <c r="F259" s="7"/>
      <c r="G259" s="127">
        <f>284.4-46.79-24.12-36.53-36.22</f>
        <v>140.73999999999998</v>
      </c>
      <c r="H259" s="7">
        <f>237.91+46.79+24.12+36.53+36.22</f>
        <v>381.57000000000005</v>
      </c>
      <c r="I259" s="31">
        <v>522.31</v>
      </c>
      <c r="J259" s="152">
        <f>G259/I259</f>
        <v>0.26945683597863335</v>
      </c>
      <c r="K259" s="15">
        <f>8-1-1-1-1</f>
        <v>4</v>
      </c>
      <c r="L259" s="15">
        <f>6+1+1+1+1</f>
        <v>10</v>
      </c>
      <c r="M259" s="15">
        <v>14</v>
      </c>
      <c r="N259" s="7" t="s">
        <v>213</v>
      </c>
      <c r="O259" s="7" t="s">
        <v>213</v>
      </c>
      <c r="P259" s="16">
        <v>0</v>
      </c>
    </row>
    <row r="260" spans="1:16" ht="13.5" thickBot="1">
      <c r="A260" s="21">
        <v>12</v>
      </c>
      <c r="B260" s="3" t="s">
        <v>262</v>
      </c>
      <c r="C260" s="127">
        <v>466.78</v>
      </c>
      <c r="D260" s="7">
        <v>339.51</v>
      </c>
      <c r="E260" s="7">
        <v>0</v>
      </c>
      <c r="F260" s="7">
        <v>0</v>
      </c>
      <c r="G260" s="31">
        <f t="shared" si="14"/>
        <v>466.78</v>
      </c>
      <c r="H260" s="31">
        <f t="shared" si="14"/>
        <v>339.51</v>
      </c>
      <c r="I260" s="31">
        <f t="shared" si="18"/>
        <v>806.29</v>
      </c>
      <c r="J260" s="152">
        <f t="shared" si="15"/>
        <v>0.578923216212529</v>
      </c>
      <c r="K260" s="15">
        <v>9</v>
      </c>
      <c r="L260" s="15">
        <v>7</v>
      </c>
      <c r="M260" s="15">
        <f t="shared" si="16"/>
        <v>16</v>
      </c>
      <c r="N260" s="7">
        <v>0</v>
      </c>
      <c r="O260" s="7">
        <v>0</v>
      </c>
      <c r="P260" s="16">
        <f t="shared" si="17"/>
        <v>0</v>
      </c>
    </row>
    <row r="261" spans="1:16" ht="12.75">
      <c r="A261" s="42">
        <v>13</v>
      </c>
      <c r="B261" s="4" t="s">
        <v>263</v>
      </c>
      <c r="C261" s="127">
        <f>491.11-46.71-46.71-46.71-44.18</f>
        <v>306.80000000000007</v>
      </c>
      <c r="D261" s="7">
        <f>91.15+46.71+46.71+90.89</f>
        <v>275.46000000000004</v>
      </c>
      <c r="E261" s="7">
        <v>0</v>
      </c>
      <c r="F261" s="7">
        <v>0</v>
      </c>
      <c r="G261" s="31">
        <f t="shared" si="14"/>
        <v>306.80000000000007</v>
      </c>
      <c r="H261" s="31">
        <f>D261+F261</f>
        <v>275.46000000000004</v>
      </c>
      <c r="I261" s="31">
        <f t="shared" si="18"/>
        <v>582.2600000000001</v>
      </c>
      <c r="J261" s="152">
        <f t="shared" si="15"/>
        <v>0.5269123759145399</v>
      </c>
      <c r="K261" s="15">
        <f>12-1-1-1-1</f>
        <v>8</v>
      </c>
      <c r="L261" s="15">
        <f>3+1+1+1+1</f>
        <v>7</v>
      </c>
      <c r="M261" s="15">
        <f t="shared" si="16"/>
        <v>15</v>
      </c>
      <c r="N261" s="7">
        <v>0</v>
      </c>
      <c r="O261" s="7">
        <v>0</v>
      </c>
      <c r="P261" s="16">
        <f t="shared" si="17"/>
        <v>0</v>
      </c>
    </row>
    <row r="262" spans="1:16" ht="12.75">
      <c r="A262" s="21">
        <v>14</v>
      </c>
      <c r="B262" s="4" t="s">
        <v>264</v>
      </c>
      <c r="C262" s="127">
        <f>1109.38-40.45-41.17-4.44-23.09-84.7-17.45-19.32-17.45-22.5</f>
        <v>838.8099999999997</v>
      </c>
      <c r="D262" s="7">
        <f>184.75+40.45+41.17+23.09+84.7+17.45+19.32+17.45+22.5</f>
        <v>450.87999999999994</v>
      </c>
      <c r="E262" s="7">
        <v>0</v>
      </c>
      <c r="F262" s="7">
        <v>0</v>
      </c>
      <c r="G262" s="31">
        <f t="shared" si="14"/>
        <v>838.8099999999997</v>
      </c>
      <c r="H262" s="31">
        <f t="shared" si="14"/>
        <v>450.87999999999994</v>
      </c>
      <c r="I262" s="31">
        <f t="shared" si="18"/>
        <v>1289.6899999999996</v>
      </c>
      <c r="J262" s="152">
        <f t="shared" si="15"/>
        <v>0.6503966069365507</v>
      </c>
      <c r="K262" s="15">
        <f>38-1-1-1-3-1-1-1-1</f>
        <v>28</v>
      </c>
      <c r="L262" s="15">
        <f>7+1+1+1+3+1+1+1+1</f>
        <v>17</v>
      </c>
      <c r="M262" s="15">
        <f t="shared" si="16"/>
        <v>45</v>
      </c>
      <c r="N262" s="7">
        <v>0</v>
      </c>
      <c r="O262" s="7">
        <v>0</v>
      </c>
      <c r="P262" s="16">
        <f t="shared" si="17"/>
        <v>0</v>
      </c>
    </row>
    <row r="263" spans="1:16" ht="12.75">
      <c r="A263" s="21">
        <v>15</v>
      </c>
      <c r="B263" s="154" t="s">
        <v>265</v>
      </c>
      <c r="C263" s="130">
        <v>0</v>
      </c>
      <c r="D263" s="130">
        <v>260.56</v>
      </c>
      <c r="E263" s="130">
        <v>0</v>
      </c>
      <c r="F263" s="130">
        <v>0</v>
      </c>
      <c r="G263" s="132">
        <v>0</v>
      </c>
      <c r="H263" s="132">
        <v>260.56</v>
      </c>
      <c r="I263" s="132">
        <v>260.56</v>
      </c>
      <c r="J263" s="155">
        <v>0</v>
      </c>
      <c r="K263" s="131">
        <v>0</v>
      </c>
      <c r="L263" s="131">
        <v>5</v>
      </c>
      <c r="M263" s="131">
        <v>5</v>
      </c>
      <c r="N263" s="130">
        <v>0</v>
      </c>
      <c r="O263" s="130">
        <v>0</v>
      </c>
      <c r="P263" s="156">
        <v>0</v>
      </c>
    </row>
    <row r="264" spans="1:16" ht="13.5" thickBot="1">
      <c r="A264" s="21">
        <v>16</v>
      </c>
      <c r="B264" s="4" t="s">
        <v>266</v>
      </c>
      <c r="C264" s="127">
        <f>624.13+5.67-107.32-83.7-47.2-56-55.05-118.33-78.55-53</f>
        <v>30.65000000000005</v>
      </c>
      <c r="D264" s="7">
        <f>183.47+107.32+83.7+47.2+56+55.05+118.33+83.15</f>
        <v>734.2199999999999</v>
      </c>
      <c r="E264" s="7">
        <v>0</v>
      </c>
      <c r="F264" s="7">
        <v>0</v>
      </c>
      <c r="G264" s="31">
        <f t="shared" si="14"/>
        <v>30.65000000000005</v>
      </c>
      <c r="H264" s="31">
        <f>D264+F264</f>
        <v>734.2199999999999</v>
      </c>
      <c r="I264" s="31">
        <f t="shared" si="18"/>
        <v>764.87</v>
      </c>
      <c r="J264" s="152">
        <f>G264/I264</f>
        <v>0.04007216912677978</v>
      </c>
      <c r="K264" s="15">
        <f>9-1-1-1-1-1-1-1-1</f>
        <v>1</v>
      </c>
      <c r="L264" s="15">
        <f>1+1+1+1+1+1+1+1+1+1</f>
        <v>10</v>
      </c>
      <c r="M264" s="15">
        <f t="shared" si="16"/>
        <v>11</v>
      </c>
      <c r="N264" s="7">
        <v>0</v>
      </c>
      <c r="O264" s="7">
        <v>0</v>
      </c>
      <c r="P264" s="16">
        <f t="shared" si="17"/>
        <v>0</v>
      </c>
    </row>
    <row r="265" spans="1:16" ht="12.75">
      <c r="A265" s="42">
        <v>17</v>
      </c>
      <c r="B265" s="4" t="s">
        <v>267</v>
      </c>
      <c r="C265" s="127">
        <f>231.41-38.9-38</f>
        <v>154.51</v>
      </c>
      <c r="D265" s="7">
        <f>79.74+38.9+38</f>
        <v>156.64</v>
      </c>
      <c r="E265" s="7">
        <v>0</v>
      </c>
      <c r="F265" s="7">
        <v>0</v>
      </c>
      <c r="G265" s="31">
        <f aca="true" t="shared" si="19" ref="G265:H329">C265+E265</f>
        <v>154.51</v>
      </c>
      <c r="H265" s="31">
        <f t="shared" si="19"/>
        <v>156.64</v>
      </c>
      <c r="I265" s="31">
        <f t="shared" si="18"/>
        <v>311.15</v>
      </c>
      <c r="J265" s="152">
        <f t="shared" si="15"/>
        <v>0.4965772135625904</v>
      </c>
      <c r="K265" s="15">
        <f>6-1-1</f>
        <v>4</v>
      </c>
      <c r="L265" s="15">
        <f>2+1+1</f>
        <v>4</v>
      </c>
      <c r="M265" s="15">
        <f t="shared" si="16"/>
        <v>8</v>
      </c>
      <c r="N265" s="7">
        <v>0</v>
      </c>
      <c r="O265" s="7">
        <v>0</v>
      </c>
      <c r="P265" s="16">
        <f t="shared" si="17"/>
        <v>0</v>
      </c>
    </row>
    <row r="266" spans="1:16" ht="12.75">
      <c r="A266" s="21">
        <v>18</v>
      </c>
      <c r="B266" s="4" t="s">
        <v>54</v>
      </c>
      <c r="C266" s="127">
        <v>137.81</v>
      </c>
      <c r="D266" s="7">
        <v>202.86</v>
      </c>
      <c r="E266" s="7"/>
      <c r="F266" s="7"/>
      <c r="G266" s="127">
        <v>137.81</v>
      </c>
      <c r="H266" s="7">
        <v>202.86</v>
      </c>
      <c r="I266" s="31">
        <v>340.67</v>
      </c>
      <c r="J266" s="152">
        <f>G266/I258</f>
        <v>0.30518646470015054</v>
      </c>
      <c r="K266" s="15">
        <v>3</v>
      </c>
      <c r="L266" s="15">
        <v>5</v>
      </c>
      <c r="M266" s="15">
        <v>8</v>
      </c>
      <c r="N266" s="7"/>
      <c r="O266" s="7"/>
      <c r="P266" s="16"/>
    </row>
    <row r="267" spans="1:16" ht="12.75">
      <c r="A267" s="21">
        <v>19</v>
      </c>
      <c r="B267" s="4" t="s">
        <v>268</v>
      </c>
      <c r="C267" s="127">
        <f>300.5-48.81-40.75-37.5-47</f>
        <v>126.44</v>
      </c>
      <c r="D267" s="7">
        <f>40.75+48.81+40.75+37.5+47</f>
        <v>214.81</v>
      </c>
      <c r="E267" s="7">
        <v>0</v>
      </c>
      <c r="F267" s="7">
        <v>0</v>
      </c>
      <c r="G267" s="31">
        <f t="shared" si="19"/>
        <v>126.44</v>
      </c>
      <c r="H267" s="31">
        <f t="shared" si="19"/>
        <v>214.81</v>
      </c>
      <c r="I267" s="31">
        <f t="shared" si="18"/>
        <v>341.25</v>
      </c>
      <c r="J267" s="152">
        <f t="shared" si="15"/>
        <v>0.37052014652014653</v>
      </c>
      <c r="K267" s="15">
        <f>7-1-1-1-1</f>
        <v>3</v>
      </c>
      <c r="L267" s="15">
        <f>1+1+1+1+1</f>
        <v>5</v>
      </c>
      <c r="M267" s="15">
        <f t="shared" si="16"/>
        <v>8</v>
      </c>
      <c r="N267" s="7">
        <v>0</v>
      </c>
      <c r="O267" s="7">
        <v>0</v>
      </c>
      <c r="P267" s="16">
        <f t="shared" si="17"/>
        <v>0</v>
      </c>
    </row>
    <row r="268" spans="1:16" ht="13.5" thickBot="1">
      <c r="A268" s="21">
        <v>20</v>
      </c>
      <c r="B268" s="4" t="s">
        <v>55</v>
      </c>
      <c r="C268" s="127">
        <v>77.96</v>
      </c>
      <c r="D268" s="7">
        <v>261.62</v>
      </c>
      <c r="E268" s="7"/>
      <c r="F268" s="7"/>
      <c r="G268" s="31">
        <v>77.96</v>
      </c>
      <c r="H268" s="31">
        <v>261.62</v>
      </c>
      <c r="I268" s="31">
        <v>339.58</v>
      </c>
      <c r="J268" s="152">
        <f>G268/I268</f>
        <v>0.22957771364626892</v>
      </c>
      <c r="K268" s="15">
        <v>2</v>
      </c>
      <c r="L268" s="15">
        <v>6</v>
      </c>
      <c r="M268" s="15">
        <v>8</v>
      </c>
      <c r="N268" s="7"/>
      <c r="O268" s="7"/>
      <c r="P268" s="16">
        <v>0</v>
      </c>
    </row>
    <row r="269" spans="1:16" ht="12.75">
      <c r="A269" s="42">
        <v>21</v>
      </c>
      <c r="B269" s="154" t="s">
        <v>269</v>
      </c>
      <c r="C269" s="130">
        <f>218.57-200.72-17.85</f>
        <v>0</v>
      </c>
      <c r="D269" s="130">
        <f>1442.11+200.72+17.85</f>
        <v>1660.6799999999998</v>
      </c>
      <c r="E269" s="130">
        <v>0</v>
      </c>
      <c r="F269" s="130">
        <v>0</v>
      </c>
      <c r="G269" s="132">
        <f t="shared" si="19"/>
        <v>0</v>
      </c>
      <c r="H269" s="132">
        <f t="shared" si="19"/>
        <v>1660.6799999999998</v>
      </c>
      <c r="I269" s="132">
        <f t="shared" si="18"/>
        <v>1660.6799999999998</v>
      </c>
      <c r="J269" s="155">
        <f t="shared" si="15"/>
        <v>0</v>
      </c>
      <c r="K269" s="131">
        <f>6-5-1</f>
        <v>0</v>
      </c>
      <c r="L269" s="131">
        <f>34+5+1</f>
        <v>40</v>
      </c>
      <c r="M269" s="131">
        <f t="shared" si="16"/>
        <v>40</v>
      </c>
      <c r="N269" s="130">
        <v>0</v>
      </c>
      <c r="O269" s="130">
        <v>0</v>
      </c>
      <c r="P269" s="156">
        <f t="shared" si="17"/>
        <v>0</v>
      </c>
    </row>
    <row r="270" spans="1:16" ht="12.75">
      <c r="A270" s="21">
        <v>22</v>
      </c>
      <c r="B270" s="4" t="s">
        <v>270</v>
      </c>
      <c r="C270" s="127">
        <f>260.9-22-56.7</f>
        <v>182.2</v>
      </c>
      <c r="D270" s="7">
        <v>100.7</v>
      </c>
      <c r="E270" s="7">
        <v>0</v>
      </c>
      <c r="F270" s="7">
        <v>0</v>
      </c>
      <c r="G270" s="31">
        <f t="shared" si="19"/>
        <v>182.2</v>
      </c>
      <c r="H270" s="31">
        <f t="shared" si="19"/>
        <v>100.7</v>
      </c>
      <c r="I270" s="31">
        <f t="shared" si="18"/>
        <v>282.9</v>
      </c>
      <c r="J270" s="152">
        <f t="shared" si="15"/>
        <v>0.6440438317426652</v>
      </c>
      <c r="K270" s="15">
        <f>14-1-1-1-1</f>
        <v>10</v>
      </c>
      <c r="L270" s="15">
        <f>1+1+1+1+1</f>
        <v>5</v>
      </c>
      <c r="M270" s="15">
        <f t="shared" si="16"/>
        <v>15</v>
      </c>
      <c r="N270" s="7">
        <v>0</v>
      </c>
      <c r="O270" s="7">
        <v>0</v>
      </c>
      <c r="P270" s="16">
        <f t="shared" si="17"/>
        <v>0</v>
      </c>
    </row>
    <row r="271" spans="1:16" ht="12.75">
      <c r="A271" s="21">
        <v>23</v>
      </c>
      <c r="B271" s="4" t="s">
        <v>271</v>
      </c>
      <c r="C271" s="127">
        <f>130.74-14.2</f>
        <v>116.54</v>
      </c>
      <c r="D271" s="7">
        <f>81.41+24.25+14.45+23.61+25.25+14.2</f>
        <v>183.17</v>
      </c>
      <c r="E271" s="7">
        <v>0</v>
      </c>
      <c r="F271" s="7">
        <v>0</v>
      </c>
      <c r="G271" s="31">
        <f t="shared" si="19"/>
        <v>116.54</v>
      </c>
      <c r="H271" s="31">
        <f t="shared" si="19"/>
        <v>183.17</v>
      </c>
      <c r="I271" s="31">
        <f t="shared" si="18"/>
        <v>299.71</v>
      </c>
      <c r="J271" s="152">
        <f t="shared" si="15"/>
        <v>0.38884254779620303</v>
      </c>
      <c r="K271" s="15">
        <f>7-1</f>
        <v>6</v>
      </c>
      <c r="L271" s="15">
        <f>7+1</f>
        <v>8</v>
      </c>
      <c r="M271" s="15">
        <f t="shared" si="16"/>
        <v>14</v>
      </c>
      <c r="N271" s="7">
        <v>0</v>
      </c>
      <c r="O271" s="7">
        <v>0</v>
      </c>
      <c r="P271" s="16">
        <f t="shared" si="17"/>
        <v>0</v>
      </c>
    </row>
    <row r="272" spans="1:16" ht="13.5" thickBot="1">
      <c r="A272" s="21">
        <v>24</v>
      </c>
      <c r="B272" s="4" t="s">
        <v>272</v>
      </c>
      <c r="C272" s="127">
        <f>226.98-38+1.64</f>
        <v>190.61999999999998</v>
      </c>
      <c r="D272" s="7">
        <f>77.45+38</f>
        <v>115.45</v>
      </c>
      <c r="E272" s="7">
        <v>0</v>
      </c>
      <c r="F272" s="7">
        <v>0</v>
      </c>
      <c r="G272" s="31">
        <f t="shared" si="19"/>
        <v>190.61999999999998</v>
      </c>
      <c r="H272" s="31">
        <f t="shared" si="19"/>
        <v>115.45</v>
      </c>
      <c r="I272" s="31">
        <f t="shared" si="18"/>
        <v>306.07</v>
      </c>
      <c r="J272" s="152">
        <f t="shared" si="15"/>
        <v>0.6227987061783251</v>
      </c>
      <c r="K272" s="15">
        <f>8-1</f>
        <v>7</v>
      </c>
      <c r="L272" s="15">
        <f>2+1</f>
        <v>3</v>
      </c>
      <c r="M272" s="15">
        <f t="shared" si="16"/>
        <v>10</v>
      </c>
      <c r="N272" s="7">
        <v>0</v>
      </c>
      <c r="O272" s="7">
        <v>0</v>
      </c>
      <c r="P272" s="16">
        <f t="shared" si="17"/>
        <v>0</v>
      </c>
    </row>
    <row r="273" spans="1:16" ht="12.75">
      <c r="A273" s="42">
        <v>25</v>
      </c>
      <c r="B273" s="4" t="s">
        <v>273</v>
      </c>
      <c r="C273" s="127">
        <f>369.2+35.34+7.21-61.39-13.41</f>
        <v>336.94999999999993</v>
      </c>
      <c r="D273" s="7">
        <f>197.84+74.8+31.26</f>
        <v>303.9</v>
      </c>
      <c r="E273" s="7">
        <v>0</v>
      </c>
      <c r="F273" s="7">
        <v>0</v>
      </c>
      <c r="G273" s="31">
        <f t="shared" si="19"/>
        <v>336.94999999999993</v>
      </c>
      <c r="H273" s="31">
        <f t="shared" si="19"/>
        <v>303.9</v>
      </c>
      <c r="I273" s="31">
        <f t="shared" si="18"/>
        <v>640.8499999999999</v>
      </c>
      <c r="J273" s="152">
        <f t="shared" si="15"/>
        <v>0.5257860653819146</v>
      </c>
      <c r="K273" s="15">
        <f>9-2</f>
        <v>7</v>
      </c>
      <c r="L273" s="15">
        <f>3+1</f>
        <v>4</v>
      </c>
      <c r="M273" s="15">
        <f t="shared" si="16"/>
        <v>11</v>
      </c>
      <c r="N273" s="7">
        <v>0</v>
      </c>
      <c r="O273" s="7">
        <v>0</v>
      </c>
      <c r="P273" s="16">
        <f t="shared" si="17"/>
        <v>0</v>
      </c>
    </row>
    <row r="274" spans="1:16" ht="12.75">
      <c r="A274" s="21">
        <v>26</v>
      </c>
      <c r="B274" s="4" t="s">
        <v>274</v>
      </c>
      <c r="C274" s="127">
        <f>585.09-345.53-39.24-56.6-37.8</f>
        <v>105.92000000000006</v>
      </c>
      <c r="D274" s="157">
        <f>282.19+345.53+39.24+56.6+37.8</f>
        <v>761.36</v>
      </c>
      <c r="E274" s="7">
        <v>0</v>
      </c>
      <c r="F274" s="7">
        <v>0</v>
      </c>
      <c r="G274" s="31">
        <f t="shared" si="19"/>
        <v>105.92000000000006</v>
      </c>
      <c r="H274" s="31">
        <f t="shared" si="19"/>
        <v>761.36</v>
      </c>
      <c r="I274" s="31">
        <f t="shared" si="18"/>
        <v>867.2800000000001</v>
      </c>
      <c r="J274" s="152">
        <f t="shared" si="15"/>
        <v>0.12212895489346007</v>
      </c>
      <c r="K274" s="15">
        <f>12-7-1-1-1</f>
        <v>2</v>
      </c>
      <c r="L274" s="15">
        <f>6+7+1+1+1</f>
        <v>16</v>
      </c>
      <c r="M274" s="15">
        <f t="shared" si="16"/>
        <v>18</v>
      </c>
      <c r="N274" s="7">
        <v>0</v>
      </c>
      <c r="O274" s="7">
        <v>0</v>
      </c>
      <c r="P274" s="16">
        <f t="shared" si="17"/>
        <v>0</v>
      </c>
    </row>
    <row r="275" spans="1:16" ht="12.75">
      <c r="A275" s="21">
        <v>27</v>
      </c>
      <c r="B275" s="154" t="s">
        <v>275</v>
      </c>
      <c r="C275" s="130">
        <f>38-38</f>
        <v>0</v>
      </c>
      <c r="D275" s="130">
        <f>110.76+38</f>
        <v>148.76</v>
      </c>
      <c r="E275" s="130">
        <v>0</v>
      </c>
      <c r="F275" s="130">
        <v>0</v>
      </c>
      <c r="G275" s="132">
        <f t="shared" si="19"/>
        <v>0</v>
      </c>
      <c r="H275" s="132">
        <f t="shared" si="19"/>
        <v>148.76</v>
      </c>
      <c r="I275" s="132">
        <f t="shared" si="18"/>
        <v>148.76</v>
      </c>
      <c r="J275" s="155">
        <f t="shared" si="15"/>
        <v>0</v>
      </c>
      <c r="K275" s="131">
        <f>2-1-1</f>
        <v>0</v>
      </c>
      <c r="L275" s="131">
        <f>3+1+1</f>
        <v>5</v>
      </c>
      <c r="M275" s="131">
        <f t="shared" si="16"/>
        <v>5</v>
      </c>
      <c r="N275" s="130">
        <v>0</v>
      </c>
      <c r="O275" s="130">
        <v>0</v>
      </c>
      <c r="P275" s="156">
        <f t="shared" si="17"/>
        <v>0</v>
      </c>
    </row>
    <row r="276" spans="1:16" ht="13.5" thickBot="1">
      <c r="A276" s="21">
        <v>28</v>
      </c>
      <c r="B276" s="4" t="s">
        <v>276</v>
      </c>
      <c r="C276" s="127">
        <v>204.57</v>
      </c>
      <c r="D276" s="7">
        <v>246.63</v>
      </c>
      <c r="E276" s="7">
        <v>0</v>
      </c>
      <c r="F276" s="7">
        <v>0</v>
      </c>
      <c r="G276" s="31">
        <f t="shared" si="19"/>
        <v>204.57</v>
      </c>
      <c r="H276" s="31">
        <f t="shared" si="19"/>
        <v>246.63</v>
      </c>
      <c r="I276" s="31">
        <f t="shared" si="18"/>
        <v>451.2</v>
      </c>
      <c r="J276" s="152">
        <f t="shared" si="15"/>
        <v>0.4533909574468085</v>
      </c>
      <c r="K276" s="15">
        <v>8</v>
      </c>
      <c r="L276" s="15">
        <v>7</v>
      </c>
      <c r="M276" s="15">
        <f t="shared" si="16"/>
        <v>15</v>
      </c>
      <c r="N276" s="7">
        <v>0</v>
      </c>
      <c r="O276" s="7">
        <v>0</v>
      </c>
      <c r="P276" s="16">
        <f t="shared" si="17"/>
        <v>0</v>
      </c>
    </row>
    <row r="277" spans="1:16" ht="12.75">
      <c r="A277" s="42">
        <v>29</v>
      </c>
      <c r="B277" s="4" t="s">
        <v>277</v>
      </c>
      <c r="C277" s="127">
        <f>107.59+3.48-32.53</f>
        <v>78.54</v>
      </c>
      <c r="D277" s="7">
        <f>107.37+32.53</f>
        <v>139.9</v>
      </c>
      <c r="E277" s="7">
        <v>0</v>
      </c>
      <c r="F277" s="7">
        <v>0</v>
      </c>
      <c r="G277" s="31">
        <f t="shared" si="19"/>
        <v>78.54</v>
      </c>
      <c r="H277" s="31">
        <f t="shared" si="19"/>
        <v>139.9</v>
      </c>
      <c r="I277" s="31">
        <f t="shared" si="18"/>
        <v>218.44</v>
      </c>
      <c r="J277" s="152">
        <f t="shared" si="15"/>
        <v>0.3595495330525545</v>
      </c>
      <c r="K277" s="15">
        <f>3-1</f>
        <v>2</v>
      </c>
      <c r="L277" s="15">
        <f>3+1</f>
        <v>4</v>
      </c>
      <c r="M277" s="15">
        <f t="shared" si="16"/>
        <v>6</v>
      </c>
      <c r="N277" s="7">
        <v>0</v>
      </c>
      <c r="O277" s="7">
        <v>0</v>
      </c>
      <c r="P277" s="16">
        <f t="shared" si="17"/>
        <v>0</v>
      </c>
    </row>
    <row r="278" spans="1:16" ht="12.75">
      <c r="A278" s="21">
        <v>30</v>
      </c>
      <c r="B278" s="4" t="s">
        <v>278</v>
      </c>
      <c r="C278" s="127">
        <v>117.77</v>
      </c>
      <c r="D278" s="7">
        <v>95.48</v>
      </c>
      <c r="E278" s="7">
        <v>0</v>
      </c>
      <c r="F278" s="7">
        <v>0</v>
      </c>
      <c r="G278" s="31">
        <f t="shared" si="19"/>
        <v>117.77</v>
      </c>
      <c r="H278" s="31">
        <f t="shared" si="19"/>
        <v>95.48</v>
      </c>
      <c r="I278" s="31">
        <f t="shared" si="18"/>
        <v>213.25</v>
      </c>
      <c r="J278" s="152">
        <f t="shared" si="15"/>
        <v>0.5522626025791324</v>
      </c>
      <c r="K278" s="15">
        <v>3</v>
      </c>
      <c r="L278" s="15">
        <v>3</v>
      </c>
      <c r="M278" s="15">
        <f t="shared" si="16"/>
        <v>6</v>
      </c>
      <c r="N278" s="7">
        <v>0</v>
      </c>
      <c r="O278" s="7">
        <v>0</v>
      </c>
      <c r="P278" s="16">
        <f t="shared" si="17"/>
        <v>0</v>
      </c>
    </row>
    <row r="279" spans="1:16" ht="12.75">
      <c r="A279" s="21">
        <v>31</v>
      </c>
      <c r="B279" s="4" t="s">
        <v>279</v>
      </c>
      <c r="C279" s="127">
        <v>108.82</v>
      </c>
      <c r="D279" s="7">
        <v>103.91</v>
      </c>
      <c r="E279" s="7">
        <v>0</v>
      </c>
      <c r="F279" s="7">
        <v>0</v>
      </c>
      <c r="G279" s="31">
        <f t="shared" si="19"/>
        <v>108.82</v>
      </c>
      <c r="H279" s="31">
        <f t="shared" si="19"/>
        <v>103.91</v>
      </c>
      <c r="I279" s="31">
        <f t="shared" si="18"/>
        <v>212.73</v>
      </c>
      <c r="J279" s="152">
        <f t="shared" si="15"/>
        <v>0.5115404503361068</v>
      </c>
      <c r="K279" s="15">
        <v>3</v>
      </c>
      <c r="L279" s="15">
        <v>3</v>
      </c>
      <c r="M279" s="15">
        <f t="shared" si="16"/>
        <v>6</v>
      </c>
      <c r="N279" s="7">
        <v>0</v>
      </c>
      <c r="O279" s="7">
        <v>0</v>
      </c>
      <c r="P279" s="16">
        <f t="shared" si="17"/>
        <v>0</v>
      </c>
    </row>
    <row r="280" spans="1:16" ht="13.5" thickBot="1">
      <c r="A280" s="21">
        <v>32</v>
      </c>
      <c r="B280" s="4" t="s">
        <v>280</v>
      </c>
      <c r="C280" s="127">
        <f>106.57-42.52</f>
        <v>64.04999999999998</v>
      </c>
      <c r="D280" s="7">
        <f>106.66+42.52</f>
        <v>149.18</v>
      </c>
      <c r="E280" s="7">
        <v>0</v>
      </c>
      <c r="F280" s="7">
        <v>0</v>
      </c>
      <c r="G280" s="31">
        <f t="shared" si="19"/>
        <v>64.04999999999998</v>
      </c>
      <c r="H280" s="31">
        <f t="shared" si="19"/>
        <v>149.18</v>
      </c>
      <c r="I280" s="31">
        <f t="shared" si="18"/>
        <v>213.23</v>
      </c>
      <c r="J280" s="152">
        <f t="shared" si="15"/>
        <v>0.30037987150025786</v>
      </c>
      <c r="K280" s="15">
        <f>3-1</f>
        <v>2</v>
      </c>
      <c r="L280" s="15">
        <f>3+1</f>
        <v>4</v>
      </c>
      <c r="M280" s="15">
        <f t="shared" si="16"/>
        <v>6</v>
      </c>
      <c r="N280" s="7">
        <v>0</v>
      </c>
      <c r="O280" s="7">
        <v>0</v>
      </c>
      <c r="P280" s="16">
        <f t="shared" si="17"/>
        <v>0</v>
      </c>
    </row>
    <row r="281" spans="1:16" ht="12.75">
      <c r="A281" s="42">
        <v>33</v>
      </c>
      <c r="B281" s="4" t="s">
        <v>281</v>
      </c>
      <c r="C281" s="127">
        <v>162.31</v>
      </c>
      <c r="D281" s="7">
        <v>85.1</v>
      </c>
      <c r="E281" s="7">
        <v>0</v>
      </c>
      <c r="F281" s="7">
        <v>0</v>
      </c>
      <c r="G281" s="31">
        <f t="shared" si="19"/>
        <v>162.31</v>
      </c>
      <c r="H281" s="31">
        <f t="shared" si="19"/>
        <v>85.1</v>
      </c>
      <c r="I281" s="31">
        <f t="shared" si="18"/>
        <v>247.41</v>
      </c>
      <c r="J281" s="152">
        <f t="shared" si="15"/>
        <v>0.6560365385392668</v>
      </c>
      <c r="K281" s="15">
        <v>4</v>
      </c>
      <c r="L281" s="15">
        <v>2</v>
      </c>
      <c r="M281" s="15">
        <f t="shared" si="16"/>
        <v>6</v>
      </c>
      <c r="N281" s="7">
        <v>0</v>
      </c>
      <c r="O281" s="7">
        <v>0</v>
      </c>
      <c r="P281" s="16">
        <f t="shared" si="17"/>
        <v>0</v>
      </c>
    </row>
    <row r="282" spans="1:16" ht="12.75">
      <c r="A282" s="21">
        <v>34</v>
      </c>
      <c r="B282" s="4" t="s">
        <v>282</v>
      </c>
      <c r="C282" s="127">
        <f>142-46.1</f>
        <v>95.9</v>
      </c>
      <c r="D282" s="7">
        <f>73.88+46.1</f>
        <v>119.97999999999999</v>
      </c>
      <c r="E282" s="7">
        <v>0</v>
      </c>
      <c r="F282" s="7">
        <v>0</v>
      </c>
      <c r="G282" s="31">
        <f t="shared" si="19"/>
        <v>95.9</v>
      </c>
      <c r="H282" s="31">
        <f t="shared" si="19"/>
        <v>119.97999999999999</v>
      </c>
      <c r="I282" s="31">
        <f t="shared" si="18"/>
        <v>215.88</v>
      </c>
      <c r="J282" s="152">
        <f t="shared" si="15"/>
        <v>0.4442282749675746</v>
      </c>
      <c r="K282" s="15">
        <f>4-1</f>
        <v>3</v>
      </c>
      <c r="L282" s="15">
        <f>2+1</f>
        <v>3</v>
      </c>
      <c r="M282" s="15">
        <f t="shared" si="16"/>
        <v>6</v>
      </c>
      <c r="N282" s="7">
        <v>0</v>
      </c>
      <c r="O282" s="7">
        <v>0</v>
      </c>
      <c r="P282" s="16">
        <f t="shared" si="17"/>
        <v>0</v>
      </c>
    </row>
    <row r="283" spans="1:16" ht="12.75">
      <c r="A283" s="21">
        <v>35</v>
      </c>
      <c r="B283" s="4" t="s">
        <v>283</v>
      </c>
      <c r="C283" s="127">
        <f>633.18-55.96-3.82-58.26-21.16-71.32-22.37</f>
        <v>400.28999999999985</v>
      </c>
      <c r="D283" s="7">
        <f>175.01+55.96+58.26+21.16+71.32+22.37</f>
        <v>404.08000000000004</v>
      </c>
      <c r="E283" s="7">
        <v>21.16</v>
      </c>
      <c r="F283" s="7">
        <v>50.1</v>
      </c>
      <c r="G283" s="31">
        <f t="shared" si="19"/>
        <v>421.4499999999999</v>
      </c>
      <c r="H283" s="31">
        <f t="shared" si="19"/>
        <v>454.18000000000006</v>
      </c>
      <c r="I283" s="31">
        <f t="shared" si="18"/>
        <v>875.6299999999999</v>
      </c>
      <c r="J283" s="152">
        <f t="shared" si="15"/>
        <v>0.4813105992257003</v>
      </c>
      <c r="K283" s="15">
        <f>14-1</f>
        <v>13</v>
      </c>
      <c r="L283" s="15">
        <f>9+1</f>
        <v>10</v>
      </c>
      <c r="M283" s="15">
        <f t="shared" si="16"/>
        <v>23</v>
      </c>
      <c r="N283" s="15">
        <v>1</v>
      </c>
      <c r="O283" s="15">
        <v>1</v>
      </c>
      <c r="P283" s="16">
        <f t="shared" si="17"/>
        <v>2</v>
      </c>
    </row>
    <row r="284" spans="1:16" ht="13.5" thickBot="1">
      <c r="A284" s="21">
        <v>36</v>
      </c>
      <c r="B284" s="4" t="s">
        <v>284</v>
      </c>
      <c r="C284" s="127">
        <f>139.53+9.32-51.72</f>
        <v>97.13</v>
      </c>
      <c r="D284" s="7">
        <f>75.75+51.72</f>
        <v>127.47</v>
      </c>
      <c r="E284" s="7">
        <v>0</v>
      </c>
      <c r="F284" s="7">
        <v>0</v>
      </c>
      <c r="G284" s="31">
        <f t="shared" si="19"/>
        <v>97.13</v>
      </c>
      <c r="H284" s="31">
        <f t="shared" si="19"/>
        <v>127.47</v>
      </c>
      <c r="I284" s="31">
        <f t="shared" si="18"/>
        <v>224.6</v>
      </c>
      <c r="J284" s="152">
        <f t="shared" si="15"/>
        <v>0.43245770258236865</v>
      </c>
      <c r="K284" s="15">
        <f>4-1</f>
        <v>3</v>
      </c>
      <c r="L284" s="15">
        <f>2+1</f>
        <v>3</v>
      </c>
      <c r="M284" s="15">
        <f t="shared" si="16"/>
        <v>6</v>
      </c>
      <c r="N284" s="7">
        <v>0</v>
      </c>
      <c r="O284" s="7">
        <v>0</v>
      </c>
      <c r="P284" s="16">
        <f t="shared" si="17"/>
        <v>0</v>
      </c>
    </row>
    <row r="285" spans="1:16" ht="12.75">
      <c r="A285" s="42">
        <v>37</v>
      </c>
      <c r="B285" s="4" t="s">
        <v>285</v>
      </c>
      <c r="C285" s="127">
        <v>295.79</v>
      </c>
      <c r="D285" s="7">
        <v>97.4</v>
      </c>
      <c r="E285" s="7">
        <v>0</v>
      </c>
      <c r="F285" s="7">
        <v>0</v>
      </c>
      <c r="G285" s="31">
        <f t="shared" si="19"/>
        <v>295.79</v>
      </c>
      <c r="H285" s="31">
        <f t="shared" si="19"/>
        <v>97.4</v>
      </c>
      <c r="I285" s="31">
        <f t="shared" si="18"/>
        <v>393.19000000000005</v>
      </c>
      <c r="J285" s="152">
        <f t="shared" si="15"/>
        <v>0.7522826114601083</v>
      </c>
      <c r="K285" s="15">
        <v>9</v>
      </c>
      <c r="L285" s="15">
        <v>3</v>
      </c>
      <c r="M285" s="15">
        <f t="shared" si="16"/>
        <v>12</v>
      </c>
      <c r="N285" s="7">
        <v>0</v>
      </c>
      <c r="O285" s="7">
        <v>0</v>
      </c>
      <c r="P285" s="16">
        <f t="shared" si="17"/>
        <v>0</v>
      </c>
    </row>
    <row r="286" spans="1:16" ht="12.75">
      <c r="A286" s="21">
        <v>38</v>
      </c>
      <c r="B286" s="4" t="s">
        <v>286</v>
      </c>
      <c r="C286" s="127">
        <f>215.58-24.95-6.06-2.06</f>
        <v>182.51000000000002</v>
      </c>
      <c r="D286" s="7">
        <f>117.62+24.95-4.74</f>
        <v>137.82999999999998</v>
      </c>
      <c r="E286" s="7">
        <v>0</v>
      </c>
      <c r="F286" s="7">
        <v>0</v>
      </c>
      <c r="G286" s="31">
        <f t="shared" si="19"/>
        <v>182.51000000000002</v>
      </c>
      <c r="H286" s="31">
        <f t="shared" si="19"/>
        <v>137.82999999999998</v>
      </c>
      <c r="I286" s="31">
        <f t="shared" si="18"/>
        <v>320.34000000000003</v>
      </c>
      <c r="J286" s="152">
        <f t="shared" si="15"/>
        <v>0.569738402946869</v>
      </c>
      <c r="K286" s="15">
        <v>7</v>
      </c>
      <c r="L286" s="15">
        <v>4</v>
      </c>
      <c r="M286" s="15">
        <f t="shared" si="16"/>
        <v>11</v>
      </c>
      <c r="N286" s="7">
        <v>0</v>
      </c>
      <c r="O286" s="7">
        <v>0</v>
      </c>
      <c r="P286" s="16">
        <f t="shared" si="17"/>
        <v>0</v>
      </c>
    </row>
    <row r="287" spans="1:16" ht="12.75">
      <c r="A287" s="21">
        <v>39</v>
      </c>
      <c r="B287" s="4" t="s">
        <v>287</v>
      </c>
      <c r="C287" s="127">
        <f>304.17-47.5-40.96-17.21</f>
        <v>198.5</v>
      </c>
      <c r="D287" s="7">
        <f>23.75+47.5+40.96+17.21</f>
        <v>129.42000000000002</v>
      </c>
      <c r="E287" s="7">
        <v>0</v>
      </c>
      <c r="F287" s="7">
        <v>0</v>
      </c>
      <c r="G287" s="31">
        <f t="shared" si="19"/>
        <v>198.5</v>
      </c>
      <c r="H287" s="31">
        <f t="shared" si="19"/>
        <v>129.42000000000002</v>
      </c>
      <c r="I287" s="31">
        <f t="shared" si="18"/>
        <v>327.92</v>
      </c>
      <c r="J287" s="152">
        <f t="shared" si="15"/>
        <v>0.6053305684313247</v>
      </c>
      <c r="K287" s="15">
        <f>12-1-1-1</f>
        <v>9</v>
      </c>
      <c r="L287" s="15">
        <f>1+1+1+1</f>
        <v>4</v>
      </c>
      <c r="M287" s="15">
        <f t="shared" si="16"/>
        <v>13</v>
      </c>
      <c r="N287" s="7">
        <v>0</v>
      </c>
      <c r="O287" s="7">
        <v>0</v>
      </c>
      <c r="P287" s="16">
        <f t="shared" si="17"/>
        <v>0</v>
      </c>
    </row>
    <row r="288" spans="1:16" ht="13.5" thickBot="1">
      <c r="A288" s="21">
        <v>40</v>
      </c>
      <c r="B288" s="4" t="s">
        <v>288</v>
      </c>
      <c r="C288" s="127">
        <v>198.01</v>
      </c>
      <c r="D288" s="7">
        <v>81.62</v>
      </c>
      <c r="E288" s="7">
        <v>0</v>
      </c>
      <c r="F288" s="7">
        <v>0</v>
      </c>
      <c r="G288" s="31">
        <f t="shared" si="19"/>
        <v>198.01</v>
      </c>
      <c r="H288" s="31">
        <f t="shared" si="19"/>
        <v>81.62</v>
      </c>
      <c r="I288" s="31">
        <f t="shared" si="18"/>
        <v>279.63</v>
      </c>
      <c r="J288" s="152">
        <f t="shared" si="15"/>
        <v>0.7081142938883525</v>
      </c>
      <c r="K288" s="15">
        <v>9</v>
      </c>
      <c r="L288" s="15">
        <v>3</v>
      </c>
      <c r="M288" s="15">
        <f t="shared" si="16"/>
        <v>12</v>
      </c>
      <c r="N288" s="7">
        <v>0</v>
      </c>
      <c r="O288" s="7">
        <v>0</v>
      </c>
      <c r="P288" s="16">
        <f t="shared" si="17"/>
        <v>0</v>
      </c>
    </row>
    <row r="289" spans="1:16" ht="12.75">
      <c r="A289" s="42">
        <v>41</v>
      </c>
      <c r="B289" s="4" t="s">
        <v>289</v>
      </c>
      <c r="C289" s="127">
        <f>239.39-17.21</f>
        <v>222.17999999999998</v>
      </c>
      <c r="D289" s="7">
        <f>89.21+17.21</f>
        <v>106.41999999999999</v>
      </c>
      <c r="E289" s="7">
        <v>0</v>
      </c>
      <c r="F289" s="7">
        <v>0</v>
      </c>
      <c r="G289" s="31">
        <f t="shared" si="19"/>
        <v>222.17999999999998</v>
      </c>
      <c r="H289" s="31">
        <f t="shared" si="19"/>
        <v>106.41999999999999</v>
      </c>
      <c r="I289" s="31">
        <f t="shared" si="18"/>
        <v>328.59999999999997</v>
      </c>
      <c r="J289" s="152">
        <f t="shared" si="15"/>
        <v>0.6761412051125989</v>
      </c>
      <c r="K289" s="15">
        <f>10-1</f>
        <v>9</v>
      </c>
      <c r="L289" s="15">
        <f>3+1</f>
        <v>4</v>
      </c>
      <c r="M289" s="15">
        <f t="shared" si="16"/>
        <v>13</v>
      </c>
      <c r="N289" s="7">
        <v>0</v>
      </c>
      <c r="O289" s="7">
        <v>0</v>
      </c>
      <c r="P289" s="16">
        <f t="shared" si="17"/>
        <v>0</v>
      </c>
    </row>
    <row r="290" spans="1:16" ht="12.75">
      <c r="A290" s="21">
        <v>42</v>
      </c>
      <c r="B290" s="4" t="s">
        <v>290</v>
      </c>
      <c r="C290" s="127">
        <v>182.27</v>
      </c>
      <c r="D290" s="7">
        <v>116.72</v>
      </c>
      <c r="E290" s="7">
        <v>0</v>
      </c>
      <c r="F290" s="7">
        <v>0</v>
      </c>
      <c r="G290" s="31">
        <f t="shared" si="19"/>
        <v>182.27</v>
      </c>
      <c r="H290" s="31">
        <v>116.72</v>
      </c>
      <c r="I290" s="31">
        <v>298.99</v>
      </c>
      <c r="J290" s="152">
        <f>G290/I290</f>
        <v>0.6096190508043747</v>
      </c>
      <c r="K290" s="15">
        <v>8</v>
      </c>
      <c r="L290" s="15">
        <v>4</v>
      </c>
      <c r="M290" s="15">
        <f>K290+L290</f>
        <v>12</v>
      </c>
      <c r="N290" s="7">
        <v>0</v>
      </c>
      <c r="O290" s="7">
        <v>0</v>
      </c>
      <c r="P290" s="16">
        <v>0</v>
      </c>
    </row>
    <row r="291" spans="1:16" ht="12.75">
      <c r="A291" s="21">
        <v>43</v>
      </c>
      <c r="B291" s="4" t="s">
        <v>291</v>
      </c>
      <c r="C291" s="127">
        <f>158.24-37.34</f>
        <v>120.9</v>
      </c>
      <c r="D291" s="7">
        <f>137.21+37.34</f>
        <v>174.55</v>
      </c>
      <c r="E291" s="7">
        <v>0</v>
      </c>
      <c r="F291" s="7">
        <v>0</v>
      </c>
      <c r="G291" s="31">
        <f t="shared" si="19"/>
        <v>120.9</v>
      </c>
      <c r="H291" s="31">
        <f t="shared" si="19"/>
        <v>174.55</v>
      </c>
      <c r="I291" s="31">
        <f t="shared" si="18"/>
        <v>295.45000000000005</v>
      </c>
      <c r="J291" s="152">
        <f aca="true" t="shared" si="20" ref="J291:J354">G291/I291</f>
        <v>0.4092062954814689</v>
      </c>
      <c r="K291" s="15">
        <f>5-1</f>
        <v>4</v>
      </c>
      <c r="L291" s="15">
        <f>4+1</f>
        <v>5</v>
      </c>
      <c r="M291" s="15">
        <f t="shared" si="16"/>
        <v>9</v>
      </c>
      <c r="N291" s="7">
        <v>0</v>
      </c>
      <c r="O291" s="7">
        <v>0</v>
      </c>
      <c r="P291" s="16">
        <f t="shared" si="17"/>
        <v>0</v>
      </c>
    </row>
    <row r="292" spans="1:16" ht="13.5" thickBot="1">
      <c r="A292" s="21">
        <v>44</v>
      </c>
      <c r="B292" s="4" t="s">
        <v>292</v>
      </c>
      <c r="C292" s="127">
        <f>121.45+12.71</f>
        <v>134.16</v>
      </c>
      <c r="D292" s="7">
        <v>32.75</v>
      </c>
      <c r="E292" s="7">
        <v>66.4</v>
      </c>
      <c r="F292" s="7">
        <v>0</v>
      </c>
      <c r="G292" s="31">
        <f t="shared" si="19"/>
        <v>200.56</v>
      </c>
      <c r="H292" s="31">
        <f t="shared" si="19"/>
        <v>32.75</v>
      </c>
      <c r="I292" s="31">
        <f t="shared" si="18"/>
        <v>233.31</v>
      </c>
      <c r="J292" s="152">
        <f t="shared" si="20"/>
        <v>0.8596288200248596</v>
      </c>
      <c r="K292" s="15">
        <v>3</v>
      </c>
      <c r="L292" s="15">
        <v>1</v>
      </c>
      <c r="M292" s="15">
        <f t="shared" si="16"/>
        <v>4</v>
      </c>
      <c r="N292" s="15">
        <v>1</v>
      </c>
      <c r="O292" s="7">
        <v>0</v>
      </c>
      <c r="P292" s="16">
        <f t="shared" si="17"/>
        <v>1</v>
      </c>
    </row>
    <row r="293" spans="1:16" ht="12.75">
      <c r="A293" s="42">
        <v>45</v>
      </c>
      <c r="B293" s="4" t="s">
        <v>293</v>
      </c>
      <c r="C293" s="127">
        <f>188.71</f>
        <v>188.71</v>
      </c>
      <c r="D293" s="7">
        <f>1258.65</f>
        <v>1258.65</v>
      </c>
      <c r="E293" s="7">
        <v>0</v>
      </c>
      <c r="F293" s="7">
        <v>0</v>
      </c>
      <c r="G293" s="31">
        <f t="shared" si="19"/>
        <v>188.71</v>
      </c>
      <c r="H293" s="31">
        <f t="shared" si="19"/>
        <v>1258.65</v>
      </c>
      <c r="I293" s="31">
        <f t="shared" si="18"/>
        <v>1447.3600000000001</v>
      </c>
      <c r="J293" s="152">
        <f t="shared" si="20"/>
        <v>0.1303822131328764</v>
      </c>
      <c r="K293" s="15">
        <v>6</v>
      </c>
      <c r="L293" s="15">
        <v>34</v>
      </c>
      <c r="M293" s="15">
        <f t="shared" si="16"/>
        <v>40</v>
      </c>
      <c r="N293" s="7">
        <v>0</v>
      </c>
      <c r="O293" s="7">
        <v>0</v>
      </c>
      <c r="P293" s="16">
        <f t="shared" si="17"/>
        <v>0</v>
      </c>
    </row>
    <row r="294" spans="1:16" ht="12.75">
      <c r="A294" s="21">
        <v>46</v>
      </c>
      <c r="B294" s="4" t="s">
        <v>294</v>
      </c>
      <c r="C294" s="127">
        <f>506.65-46.04-28.32-28.32</f>
        <v>403.96999999999997</v>
      </c>
      <c r="D294" s="7">
        <f>1131.93+46.04+28.32+28.32</f>
        <v>1234.61</v>
      </c>
      <c r="E294" s="7">
        <v>0</v>
      </c>
      <c r="F294" s="7">
        <v>0</v>
      </c>
      <c r="G294" s="31">
        <f t="shared" si="19"/>
        <v>403.96999999999997</v>
      </c>
      <c r="H294" s="31">
        <f t="shared" si="19"/>
        <v>1234.61</v>
      </c>
      <c r="I294" s="31">
        <f t="shared" si="18"/>
        <v>1638.58</v>
      </c>
      <c r="J294" s="152">
        <f t="shared" si="20"/>
        <v>0.24653663537941387</v>
      </c>
      <c r="K294" s="15">
        <f>26-13-1-1-1</f>
        <v>10</v>
      </c>
      <c r="L294" s="15">
        <f>14+13+1+1+1</f>
        <v>30</v>
      </c>
      <c r="M294" s="15">
        <f t="shared" si="16"/>
        <v>40</v>
      </c>
      <c r="N294" s="7">
        <v>0</v>
      </c>
      <c r="O294" s="7">
        <v>0</v>
      </c>
      <c r="P294" s="16">
        <f t="shared" si="17"/>
        <v>0</v>
      </c>
    </row>
    <row r="295" spans="1:16" ht="12.75">
      <c r="A295" s="21">
        <v>47</v>
      </c>
      <c r="B295" s="4" t="s">
        <v>295</v>
      </c>
      <c r="C295" s="127">
        <f>789.96-253.26-273.38-47.24-37.18</f>
        <v>178.90000000000003</v>
      </c>
      <c r="D295" s="7">
        <f>878.32+253.26+273.38+47.24</f>
        <v>1452.2</v>
      </c>
      <c r="E295" s="7">
        <v>0</v>
      </c>
      <c r="F295" s="7">
        <v>0</v>
      </c>
      <c r="G295" s="31">
        <f t="shared" si="19"/>
        <v>178.90000000000003</v>
      </c>
      <c r="H295" s="31">
        <f t="shared" si="19"/>
        <v>1452.2</v>
      </c>
      <c r="I295" s="31">
        <f t="shared" si="18"/>
        <v>1631.1000000000001</v>
      </c>
      <c r="J295" s="152">
        <f t="shared" si="20"/>
        <v>0.10968058365520202</v>
      </c>
      <c r="K295" s="15">
        <f>18-6-6-1-1</f>
        <v>4</v>
      </c>
      <c r="L295" s="15">
        <f>22+6+6+1+1</f>
        <v>36</v>
      </c>
      <c r="M295" s="15">
        <f t="shared" si="16"/>
        <v>40</v>
      </c>
      <c r="N295" s="7">
        <v>0</v>
      </c>
      <c r="O295" s="7">
        <v>0</v>
      </c>
      <c r="P295" s="16">
        <f t="shared" si="17"/>
        <v>0</v>
      </c>
    </row>
    <row r="296" spans="1:16" ht="13.5" thickBot="1">
      <c r="A296" s="21">
        <v>48</v>
      </c>
      <c r="B296" s="4" t="s">
        <v>296</v>
      </c>
      <c r="C296" s="127">
        <v>214.46</v>
      </c>
      <c r="D296" s="7">
        <v>86.54</v>
      </c>
      <c r="E296" s="7">
        <v>0</v>
      </c>
      <c r="F296" s="7">
        <v>0</v>
      </c>
      <c r="G296" s="31">
        <f t="shared" si="19"/>
        <v>214.46</v>
      </c>
      <c r="H296" s="31">
        <f t="shared" si="19"/>
        <v>86.54</v>
      </c>
      <c r="I296" s="31">
        <f t="shared" si="18"/>
        <v>301</v>
      </c>
      <c r="J296" s="152">
        <f t="shared" si="20"/>
        <v>0.7124916943521595</v>
      </c>
      <c r="K296" s="15">
        <v>8</v>
      </c>
      <c r="L296" s="15">
        <v>3</v>
      </c>
      <c r="M296" s="15">
        <f t="shared" si="16"/>
        <v>11</v>
      </c>
      <c r="N296" s="7">
        <v>0</v>
      </c>
      <c r="O296" s="7">
        <v>0</v>
      </c>
      <c r="P296" s="16">
        <f t="shared" si="17"/>
        <v>0</v>
      </c>
    </row>
    <row r="297" spans="1:16" ht="12.75">
      <c r="A297" s="42">
        <v>49</v>
      </c>
      <c r="B297" s="4" t="s">
        <v>297</v>
      </c>
      <c r="C297" s="127">
        <v>195.29</v>
      </c>
      <c r="D297" s="7">
        <v>64</v>
      </c>
      <c r="E297" s="7">
        <v>0</v>
      </c>
      <c r="F297" s="7">
        <v>0</v>
      </c>
      <c r="G297" s="31">
        <f t="shared" si="19"/>
        <v>195.29</v>
      </c>
      <c r="H297" s="31">
        <f t="shared" si="19"/>
        <v>64</v>
      </c>
      <c r="I297" s="31">
        <f t="shared" si="18"/>
        <v>259.28999999999996</v>
      </c>
      <c r="J297" s="152">
        <f t="shared" si="20"/>
        <v>0.7531721238767404</v>
      </c>
      <c r="K297" s="15">
        <v>8</v>
      </c>
      <c r="L297" s="15">
        <v>2</v>
      </c>
      <c r="M297" s="15">
        <f t="shared" si="16"/>
        <v>10</v>
      </c>
      <c r="N297" s="7">
        <v>0</v>
      </c>
      <c r="O297" s="7">
        <v>0</v>
      </c>
      <c r="P297" s="16">
        <f t="shared" si="17"/>
        <v>0</v>
      </c>
    </row>
    <row r="298" spans="1:16" ht="12.75">
      <c r="A298" s="21">
        <v>50</v>
      </c>
      <c r="B298" s="4" t="s">
        <v>298</v>
      </c>
      <c r="C298" s="127">
        <v>164.07</v>
      </c>
      <c r="D298" s="7">
        <v>100.5</v>
      </c>
      <c r="E298" s="7">
        <v>0</v>
      </c>
      <c r="F298" s="7">
        <v>0</v>
      </c>
      <c r="G298" s="31">
        <f t="shared" si="19"/>
        <v>164.07</v>
      </c>
      <c r="H298" s="31">
        <f t="shared" si="19"/>
        <v>100.5</v>
      </c>
      <c r="I298" s="31">
        <f t="shared" si="18"/>
        <v>264.57</v>
      </c>
      <c r="J298" s="152">
        <f t="shared" si="20"/>
        <v>0.620138337680009</v>
      </c>
      <c r="K298" s="15">
        <v>5</v>
      </c>
      <c r="L298" s="15">
        <v>3</v>
      </c>
      <c r="M298" s="15">
        <f t="shared" si="16"/>
        <v>8</v>
      </c>
      <c r="N298" s="7">
        <v>0</v>
      </c>
      <c r="O298" s="7">
        <v>0</v>
      </c>
      <c r="P298" s="16">
        <f t="shared" si="17"/>
        <v>0</v>
      </c>
    </row>
    <row r="299" spans="1:16" ht="12.75">
      <c r="A299" s="21">
        <v>51</v>
      </c>
      <c r="B299" s="4" t="s">
        <v>299</v>
      </c>
      <c r="C299" s="127">
        <f>160-11-11</f>
        <v>138</v>
      </c>
      <c r="D299" s="7">
        <f>98.74+11+11</f>
        <v>120.74</v>
      </c>
      <c r="E299" s="7">
        <v>0</v>
      </c>
      <c r="F299" s="7">
        <v>0</v>
      </c>
      <c r="G299" s="31">
        <f t="shared" si="19"/>
        <v>138</v>
      </c>
      <c r="H299" s="31">
        <f t="shared" si="19"/>
        <v>120.74</v>
      </c>
      <c r="I299" s="31">
        <f t="shared" si="18"/>
        <v>258.74</v>
      </c>
      <c r="J299" s="152">
        <f t="shared" si="20"/>
        <v>0.533353946046224</v>
      </c>
      <c r="K299" s="15">
        <f>8-1-1-1</f>
        <v>5</v>
      </c>
      <c r="L299" s="15">
        <f>3+1</f>
        <v>4</v>
      </c>
      <c r="M299" s="15">
        <f t="shared" si="16"/>
        <v>9</v>
      </c>
      <c r="N299" s="7">
        <v>0</v>
      </c>
      <c r="O299" s="7">
        <v>0</v>
      </c>
      <c r="P299" s="16">
        <f t="shared" si="17"/>
        <v>0</v>
      </c>
    </row>
    <row r="300" spans="1:16" ht="13.5" thickBot="1">
      <c r="A300" s="21">
        <v>52</v>
      </c>
      <c r="B300" s="4" t="s">
        <v>300</v>
      </c>
      <c r="C300" s="127">
        <f>227.39-31.5</f>
        <v>195.89</v>
      </c>
      <c r="D300" s="7">
        <f>31.5+31.5</f>
        <v>63</v>
      </c>
      <c r="E300" s="7">
        <v>0</v>
      </c>
      <c r="F300" s="7">
        <v>0</v>
      </c>
      <c r="G300" s="31">
        <f t="shared" si="19"/>
        <v>195.89</v>
      </c>
      <c r="H300" s="31">
        <f t="shared" si="19"/>
        <v>63</v>
      </c>
      <c r="I300" s="31">
        <f t="shared" si="18"/>
        <v>258.89</v>
      </c>
      <c r="J300" s="152">
        <f t="shared" si="20"/>
        <v>0.756653404921009</v>
      </c>
      <c r="K300" s="15">
        <f>8-1</f>
        <v>7</v>
      </c>
      <c r="L300" s="15">
        <f>1+1</f>
        <v>2</v>
      </c>
      <c r="M300" s="15">
        <f t="shared" si="16"/>
        <v>9</v>
      </c>
      <c r="N300" s="7">
        <v>0</v>
      </c>
      <c r="O300" s="7">
        <v>0</v>
      </c>
      <c r="P300" s="16">
        <f t="shared" si="17"/>
        <v>0</v>
      </c>
    </row>
    <row r="301" spans="1:16" ht="12.75">
      <c r="A301" s="42">
        <v>53</v>
      </c>
      <c r="B301" s="4" t="s">
        <v>301</v>
      </c>
      <c r="C301" s="127">
        <f>94.5-31.5</f>
        <v>63</v>
      </c>
      <c r="D301" s="7">
        <f>112.5+31.5</f>
        <v>144</v>
      </c>
      <c r="E301" s="7">
        <v>0</v>
      </c>
      <c r="F301" s="7">
        <v>0</v>
      </c>
      <c r="G301" s="31">
        <f t="shared" si="19"/>
        <v>63</v>
      </c>
      <c r="H301" s="31">
        <f t="shared" si="19"/>
        <v>144</v>
      </c>
      <c r="I301" s="31">
        <f t="shared" si="18"/>
        <v>207</v>
      </c>
      <c r="J301" s="152">
        <f t="shared" si="20"/>
        <v>0.30434782608695654</v>
      </c>
      <c r="K301" s="15">
        <f>3-1</f>
        <v>2</v>
      </c>
      <c r="L301" s="15">
        <f>3+1</f>
        <v>4</v>
      </c>
      <c r="M301" s="15">
        <f t="shared" si="16"/>
        <v>6</v>
      </c>
      <c r="N301" s="7">
        <v>0</v>
      </c>
      <c r="O301" s="7">
        <v>0</v>
      </c>
      <c r="P301" s="16">
        <f t="shared" si="17"/>
        <v>0</v>
      </c>
    </row>
    <row r="302" spans="1:16" ht="12.75">
      <c r="A302" s="21">
        <v>54</v>
      </c>
      <c r="B302" s="154" t="s">
        <v>302</v>
      </c>
      <c r="C302" s="130">
        <f>106.4-31.5-31.5-43.4</f>
        <v>0</v>
      </c>
      <c r="D302" s="130">
        <f>105.37+31.5+31.5+43.4</f>
        <v>211.77</v>
      </c>
      <c r="E302" s="130">
        <v>0</v>
      </c>
      <c r="F302" s="130">
        <v>0</v>
      </c>
      <c r="G302" s="132">
        <f t="shared" si="19"/>
        <v>0</v>
      </c>
      <c r="H302" s="132">
        <f t="shared" si="19"/>
        <v>211.77</v>
      </c>
      <c r="I302" s="132">
        <f t="shared" si="18"/>
        <v>211.77</v>
      </c>
      <c r="J302" s="155">
        <f t="shared" si="20"/>
        <v>0</v>
      </c>
      <c r="K302" s="131">
        <f>2-1-1</f>
        <v>0</v>
      </c>
      <c r="L302" s="131">
        <f>4+1+1</f>
        <v>6</v>
      </c>
      <c r="M302" s="131">
        <f t="shared" si="16"/>
        <v>6</v>
      </c>
      <c r="N302" s="130">
        <v>0</v>
      </c>
      <c r="O302" s="130">
        <v>0</v>
      </c>
      <c r="P302" s="156">
        <f t="shared" si="17"/>
        <v>0</v>
      </c>
    </row>
    <row r="303" spans="1:16" ht="12.75">
      <c r="A303" s="21">
        <v>55</v>
      </c>
      <c r="B303" s="4" t="s">
        <v>303</v>
      </c>
      <c r="C303" s="127">
        <v>31.5</v>
      </c>
      <c r="D303" s="7">
        <v>167.59</v>
      </c>
      <c r="E303" s="7">
        <v>0</v>
      </c>
      <c r="F303" s="7">
        <v>0</v>
      </c>
      <c r="G303" s="31">
        <f t="shared" si="19"/>
        <v>31.5</v>
      </c>
      <c r="H303" s="31">
        <f t="shared" si="19"/>
        <v>167.59</v>
      </c>
      <c r="I303" s="31">
        <f t="shared" si="18"/>
        <v>199.09</v>
      </c>
      <c r="J303" s="152">
        <f t="shared" si="20"/>
        <v>0.15821990054749108</v>
      </c>
      <c r="K303" s="15">
        <v>1</v>
      </c>
      <c r="L303" s="15">
        <v>5</v>
      </c>
      <c r="M303" s="15">
        <f t="shared" si="16"/>
        <v>6</v>
      </c>
      <c r="N303" s="7">
        <v>0</v>
      </c>
      <c r="O303" s="7">
        <v>0</v>
      </c>
      <c r="P303" s="16">
        <f t="shared" si="17"/>
        <v>0</v>
      </c>
    </row>
    <row r="304" spans="1:16" ht="13.5" thickBot="1">
      <c r="A304" s="21">
        <v>56</v>
      </c>
      <c r="B304" s="4" t="s">
        <v>304</v>
      </c>
      <c r="C304" s="127">
        <f>96.73-11</f>
        <v>85.73</v>
      </c>
      <c r="D304" s="7">
        <f>163.1+11</f>
        <v>174.1</v>
      </c>
      <c r="E304" s="7">
        <v>0</v>
      </c>
      <c r="F304" s="7">
        <v>0</v>
      </c>
      <c r="G304" s="31">
        <f t="shared" si="19"/>
        <v>85.73</v>
      </c>
      <c r="H304" s="31">
        <f t="shared" si="19"/>
        <v>174.1</v>
      </c>
      <c r="I304" s="31">
        <f t="shared" si="18"/>
        <v>259.83</v>
      </c>
      <c r="J304" s="152">
        <f t="shared" si="20"/>
        <v>0.32994650348304666</v>
      </c>
      <c r="K304" s="15">
        <f>4-1</f>
        <v>3</v>
      </c>
      <c r="L304" s="15">
        <f>5+1</f>
        <v>6</v>
      </c>
      <c r="M304" s="15">
        <f t="shared" si="16"/>
        <v>9</v>
      </c>
      <c r="N304" s="7">
        <v>0</v>
      </c>
      <c r="O304" s="7">
        <v>0</v>
      </c>
      <c r="P304" s="16">
        <f t="shared" si="17"/>
        <v>0</v>
      </c>
    </row>
    <row r="305" spans="1:16" ht="12.75">
      <c r="A305" s="42">
        <v>57</v>
      </c>
      <c r="B305" s="4" t="s">
        <v>305</v>
      </c>
      <c r="C305" s="127">
        <v>169</v>
      </c>
      <c r="D305" s="7">
        <v>31.5</v>
      </c>
      <c r="E305" s="7">
        <v>0</v>
      </c>
      <c r="F305" s="7">
        <v>0</v>
      </c>
      <c r="G305" s="31">
        <f t="shared" si="19"/>
        <v>169</v>
      </c>
      <c r="H305" s="31">
        <f t="shared" si="19"/>
        <v>31.5</v>
      </c>
      <c r="I305" s="31">
        <f t="shared" si="18"/>
        <v>200.5</v>
      </c>
      <c r="J305" s="152">
        <f t="shared" si="20"/>
        <v>0.8428927680798005</v>
      </c>
      <c r="K305" s="15">
        <v>5</v>
      </c>
      <c r="L305" s="15">
        <v>1</v>
      </c>
      <c r="M305" s="15">
        <f t="shared" si="16"/>
        <v>6</v>
      </c>
      <c r="N305" s="7">
        <v>0</v>
      </c>
      <c r="O305" s="7">
        <v>0</v>
      </c>
      <c r="P305" s="16">
        <f t="shared" si="17"/>
        <v>0</v>
      </c>
    </row>
    <row r="306" spans="1:16" ht="12.75">
      <c r="A306" s="21">
        <v>58</v>
      </c>
      <c r="B306" s="4" t="s">
        <v>306</v>
      </c>
      <c r="C306" s="127">
        <f>163.2-33.6-22.5</f>
        <v>107.1</v>
      </c>
      <c r="D306" s="7">
        <f>95.6+33.6+22.5</f>
        <v>151.7</v>
      </c>
      <c r="E306" s="7">
        <v>0</v>
      </c>
      <c r="F306" s="7">
        <v>0</v>
      </c>
      <c r="G306" s="31">
        <f t="shared" si="19"/>
        <v>107.1</v>
      </c>
      <c r="H306" s="31">
        <f t="shared" si="19"/>
        <v>151.7</v>
      </c>
      <c r="I306" s="31">
        <f t="shared" si="18"/>
        <v>258.79999999999995</v>
      </c>
      <c r="J306" s="152">
        <f t="shared" si="20"/>
        <v>0.4138330757341577</v>
      </c>
      <c r="K306" s="15">
        <f>7-1-1</f>
        <v>5</v>
      </c>
      <c r="L306" s="15">
        <f>3+1+1</f>
        <v>5</v>
      </c>
      <c r="M306" s="15">
        <f t="shared" si="16"/>
        <v>10</v>
      </c>
      <c r="N306" s="7">
        <v>0</v>
      </c>
      <c r="O306" s="7">
        <v>0</v>
      </c>
      <c r="P306" s="16">
        <f t="shared" si="17"/>
        <v>0</v>
      </c>
    </row>
    <row r="307" spans="1:16" ht="12.75">
      <c r="A307" s="21">
        <v>59</v>
      </c>
      <c r="B307" s="4" t="s">
        <v>307</v>
      </c>
      <c r="C307" s="127">
        <v>193.35</v>
      </c>
      <c r="D307" s="7">
        <v>67</v>
      </c>
      <c r="E307" s="7">
        <v>0</v>
      </c>
      <c r="F307" s="7">
        <v>0</v>
      </c>
      <c r="G307" s="31">
        <f t="shared" si="19"/>
        <v>193.35</v>
      </c>
      <c r="H307" s="31">
        <f t="shared" si="19"/>
        <v>67</v>
      </c>
      <c r="I307" s="31">
        <f t="shared" si="18"/>
        <v>260.35</v>
      </c>
      <c r="J307" s="152">
        <f t="shared" si="20"/>
        <v>0.7426541194545803</v>
      </c>
      <c r="K307" s="15">
        <v>6</v>
      </c>
      <c r="L307" s="15">
        <v>2</v>
      </c>
      <c r="M307" s="15">
        <f t="shared" si="16"/>
        <v>8</v>
      </c>
      <c r="N307" s="7">
        <v>0</v>
      </c>
      <c r="O307" s="7">
        <v>0</v>
      </c>
      <c r="P307" s="16">
        <f t="shared" si="17"/>
        <v>0</v>
      </c>
    </row>
    <row r="308" spans="1:16" ht="13.5" thickBot="1">
      <c r="A308" s="21">
        <v>60</v>
      </c>
      <c r="B308" s="4" t="s">
        <v>308</v>
      </c>
      <c r="C308" s="127">
        <v>251.6</v>
      </c>
      <c r="D308" s="7">
        <v>62.67</v>
      </c>
      <c r="E308" s="7">
        <v>0</v>
      </c>
      <c r="F308" s="7">
        <v>0</v>
      </c>
      <c r="G308" s="31">
        <f t="shared" si="19"/>
        <v>251.6</v>
      </c>
      <c r="H308" s="31">
        <f t="shared" si="19"/>
        <v>62.67</v>
      </c>
      <c r="I308" s="31">
        <f t="shared" si="18"/>
        <v>314.27</v>
      </c>
      <c r="J308" s="152">
        <f t="shared" si="20"/>
        <v>0.8005854838196456</v>
      </c>
      <c r="K308" s="15">
        <v>10</v>
      </c>
      <c r="L308" s="15">
        <v>2</v>
      </c>
      <c r="M308" s="15">
        <f t="shared" si="16"/>
        <v>12</v>
      </c>
      <c r="N308" s="7">
        <v>0</v>
      </c>
      <c r="O308" s="7">
        <v>0</v>
      </c>
      <c r="P308" s="16">
        <f t="shared" si="17"/>
        <v>0</v>
      </c>
    </row>
    <row r="309" spans="1:16" ht="12.75">
      <c r="A309" s="42">
        <v>61</v>
      </c>
      <c r="B309" s="4" t="s">
        <v>309</v>
      </c>
      <c r="C309" s="127">
        <f>137.26-31.5</f>
        <v>105.75999999999999</v>
      </c>
      <c r="D309" s="7">
        <f>74.26+31.5</f>
        <v>105.76</v>
      </c>
      <c r="E309" s="7">
        <v>0</v>
      </c>
      <c r="F309" s="7">
        <v>0</v>
      </c>
      <c r="G309" s="31">
        <f t="shared" si="19"/>
        <v>105.75999999999999</v>
      </c>
      <c r="H309" s="31">
        <f t="shared" si="19"/>
        <v>105.76</v>
      </c>
      <c r="I309" s="31">
        <f t="shared" si="18"/>
        <v>211.51999999999998</v>
      </c>
      <c r="J309" s="152">
        <f t="shared" si="20"/>
        <v>0.5</v>
      </c>
      <c r="K309" s="15">
        <v>3</v>
      </c>
      <c r="L309" s="15">
        <v>3</v>
      </c>
      <c r="M309" s="15">
        <f t="shared" si="16"/>
        <v>6</v>
      </c>
      <c r="N309" s="7">
        <v>0</v>
      </c>
      <c r="O309" s="7">
        <v>0</v>
      </c>
      <c r="P309" s="16">
        <f t="shared" si="17"/>
        <v>0</v>
      </c>
    </row>
    <row r="310" spans="1:16" ht="12.75">
      <c r="A310" s="21">
        <v>62</v>
      </c>
      <c r="B310" s="4" t="s">
        <v>310</v>
      </c>
      <c r="C310" s="127">
        <f>196.6-38.6</f>
        <v>158</v>
      </c>
      <c r="D310" s="7">
        <f>119.78+38.6</f>
        <v>158.38</v>
      </c>
      <c r="E310" s="7">
        <v>0</v>
      </c>
      <c r="F310" s="7">
        <v>0</v>
      </c>
      <c r="G310" s="31">
        <f t="shared" si="19"/>
        <v>158</v>
      </c>
      <c r="H310" s="31">
        <f t="shared" si="19"/>
        <v>158.38</v>
      </c>
      <c r="I310" s="31">
        <f t="shared" si="18"/>
        <v>316.38</v>
      </c>
      <c r="J310" s="152">
        <f t="shared" si="20"/>
        <v>0.4993994563499589</v>
      </c>
      <c r="K310" s="15">
        <f>6-1-1</f>
        <v>4</v>
      </c>
      <c r="L310" s="15">
        <f>4+1</f>
        <v>5</v>
      </c>
      <c r="M310" s="15">
        <f t="shared" si="16"/>
        <v>9</v>
      </c>
      <c r="N310" s="7">
        <v>0</v>
      </c>
      <c r="O310" s="7">
        <v>0</v>
      </c>
      <c r="P310" s="16">
        <f t="shared" si="17"/>
        <v>0</v>
      </c>
    </row>
    <row r="311" spans="1:16" ht="12.75">
      <c r="A311" s="21">
        <v>63</v>
      </c>
      <c r="B311" s="4" t="s">
        <v>311</v>
      </c>
      <c r="C311" s="127">
        <v>236.99</v>
      </c>
      <c r="D311" s="127">
        <v>79.31</v>
      </c>
      <c r="E311" s="127">
        <v>0</v>
      </c>
      <c r="F311" s="127">
        <v>0</v>
      </c>
      <c r="G311" s="31">
        <f t="shared" si="19"/>
        <v>236.99</v>
      </c>
      <c r="H311" s="31">
        <f t="shared" si="19"/>
        <v>79.31</v>
      </c>
      <c r="I311" s="31">
        <f t="shared" si="18"/>
        <v>316.3</v>
      </c>
      <c r="J311" s="152">
        <f t="shared" si="20"/>
        <v>0.7492570344609548</v>
      </c>
      <c r="K311" s="15">
        <v>8</v>
      </c>
      <c r="L311" s="15">
        <v>2</v>
      </c>
      <c r="M311" s="15">
        <f t="shared" si="16"/>
        <v>10</v>
      </c>
      <c r="N311" s="7">
        <v>0</v>
      </c>
      <c r="O311" s="7">
        <v>0</v>
      </c>
      <c r="P311" s="16">
        <f t="shared" si="17"/>
        <v>0</v>
      </c>
    </row>
    <row r="312" spans="1:16" ht="13.5" thickBot="1">
      <c r="A312" s="21">
        <v>64</v>
      </c>
      <c r="B312" s="4" t="s">
        <v>312</v>
      </c>
      <c r="C312" s="127">
        <f>289.62-40.53-13</f>
        <v>236.09</v>
      </c>
      <c r="D312" s="127">
        <f>22+40.53+13</f>
        <v>75.53</v>
      </c>
      <c r="E312" s="127">
        <v>0</v>
      </c>
      <c r="F312" s="127">
        <v>0</v>
      </c>
      <c r="G312" s="31">
        <f t="shared" si="19"/>
        <v>236.09</v>
      </c>
      <c r="H312" s="31">
        <f t="shared" si="19"/>
        <v>75.53</v>
      </c>
      <c r="I312" s="31">
        <f t="shared" si="18"/>
        <v>311.62</v>
      </c>
      <c r="J312" s="152">
        <f t="shared" si="20"/>
        <v>0.7576214620370965</v>
      </c>
      <c r="K312" s="15">
        <v>9</v>
      </c>
      <c r="L312" s="15">
        <v>2</v>
      </c>
      <c r="M312" s="15">
        <f t="shared" si="16"/>
        <v>11</v>
      </c>
      <c r="N312" s="127">
        <v>0</v>
      </c>
      <c r="O312" s="127">
        <v>0</v>
      </c>
      <c r="P312" s="16">
        <f t="shared" si="17"/>
        <v>0</v>
      </c>
    </row>
    <row r="313" spans="1:16" ht="12.75">
      <c r="A313" s="42">
        <v>65</v>
      </c>
      <c r="B313" s="4" t="s">
        <v>313</v>
      </c>
      <c r="C313" s="127">
        <f>358.86-23.27-32.7-16.9-41.3-39.83</f>
        <v>204.86000000000007</v>
      </c>
      <c r="D313" s="7">
        <f>105.81+23.27+32.7+16.9+41.3+39.83</f>
        <v>259.81</v>
      </c>
      <c r="E313" s="7">
        <v>0</v>
      </c>
      <c r="F313" s="7">
        <v>0</v>
      </c>
      <c r="G313" s="31">
        <f t="shared" si="19"/>
        <v>204.86000000000007</v>
      </c>
      <c r="H313" s="31">
        <f t="shared" si="19"/>
        <v>259.81</v>
      </c>
      <c r="I313" s="31">
        <f t="shared" si="18"/>
        <v>464.6700000000001</v>
      </c>
      <c r="J313" s="152">
        <f t="shared" si="20"/>
        <v>0.44087201670002374</v>
      </c>
      <c r="K313" s="15">
        <f>12-1-1-1-1-1</f>
        <v>7</v>
      </c>
      <c r="L313" s="15">
        <f>5+1+1+1+1+1</f>
        <v>10</v>
      </c>
      <c r="M313" s="15">
        <f t="shared" si="16"/>
        <v>17</v>
      </c>
      <c r="N313" s="7">
        <v>0</v>
      </c>
      <c r="O313" s="7">
        <v>0</v>
      </c>
      <c r="P313" s="16">
        <f t="shared" si="17"/>
        <v>0</v>
      </c>
    </row>
    <row r="314" spans="1:16" ht="12.75">
      <c r="A314" s="21">
        <v>66</v>
      </c>
      <c r="B314" s="4" t="s">
        <v>314</v>
      </c>
      <c r="C314" s="127">
        <v>297.24</v>
      </c>
      <c r="D314" s="7">
        <v>139.93</v>
      </c>
      <c r="E314" s="7"/>
      <c r="F314" s="7"/>
      <c r="G314" s="31">
        <f t="shared" si="19"/>
        <v>297.24</v>
      </c>
      <c r="H314" s="31">
        <f t="shared" si="19"/>
        <v>139.93</v>
      </c>
      <c r="I314" s="31">
        <f t="shared" si="18"/>
        <v>437.17</v>
      </c>
      <c r="J314" s="152">
        <f>G314/I314</f>
        <v>0.6799185671477914</v>
      </c>
      <c r="K314" s="15">
        <v>9</v>
      </c>
      <c r="L314" s="15">
        <v>3</v>
      </c>
      <c r="M314" s="15">
        <f t="shared" si="16"/>
        <v>12</v>
      </c>
      <c r="N314" s="7"/>
      <c r="O314" s="7"/>
      <c r="P314" s="16">
        <f t="shared" si="17"/>
        <v>0</v>
      </c>
    </row>
    <row r="315" spans="1:16" ht="12.75">
      <c r="A315" s="21">
        <v>67</v>
      </c>
      <c r="B315" s="154" t="s">
        <v>315</v>
      </c>
      <c r="C315" s="130">
        <v>0</v>
      </c>
      <c r="D315" s="130">
        <v>1394.3</v>
      </c>
      <c r="E315" s="130">
        <v>0</v>
      </c>
      <c r="F315" s="130">
        <v>338.04</v>
      </c>
      <c r="G315" s="132">
        <f t="shared" si="19"/>
        <v>0</v>
      </c>
      <c r="H315" s="132">
        <f t="shared" si="19"/>
        <v>1732.34</v>
      </c>
      <c r="I315" s="132">
        <f t="shared" si="18"/>
        <v>1732.34</v>
      </c>
      <c r="J315" s="155">
        <f t="shared" si="20"/>
        <v>0</v>
      </c>
      <c r="K315" s="131">
        <v>0</v>
      </c>
      <c r="L315" s="131">
        <v>28</v>
      </c>
      <c r="M315" s="131">
        <f t="shared" si="16"/>
        <v>28</v>
      </c>
      <c r="N315" s="130">
        <v>0</v>
      </c>
      <c r="O315" s="131">
        <v>8</v>
      </c>
      <c r="P315" s="156">
        <f t="shared" si="17"/>
        <v>8</v>
      </c>
    </row>
    <row r="316" spans="1:16" ht="13.5" thickBot="1">
      <c r="A316" s="21">
        <v>68</v>
      </c>
      <c r="B316" s="4" t="s">
        <v>316</v>
      </c>
      <c r="C316" s="127">
        <f>468.81-57.06-45.75-83.13</f>
        <v>282.87</v>
      </c>
      <c r="D316" s="7">
        <f>670.2+57.06+45.75+83.13</f>
        <v>856.14</v>
      </c>
      <c r="E316" s="7">
        <v>0</v>
      </c>
      <c r="F316" s="7">
        <v>0</v>
      </c>
      <c r="G316" s="31">
        <f t="shared" si="19"/>
        <v>282.87</v>
      </c>
      <c r="H316" s="31">
        <f t="shared" si="19"/>
        <v>856.14</v>
      </c>
      <c r="I316" s="31">
        <f t="shared" si="18"/>
        <v>1139.01</v>
      </c>
      <c r="J316" s="152">
        <f t="shared" si="20"/>
        <v>0.24834724892669952</v>
      </c>
      <c r="K316" s="15">
        <f>11-1-1-2</f>
        <v>7</v>
      </c>
      <c r="L316" s="15">
        <f>15+1+1+2</f>
        <v>19</v>
      </c>
      <c r="M316" s="15">
        <f aca="true" t="shared" si="21" ref="M316:M370">SUM(K316:L316)</f>
        <v>26</v>
      </c>
      <c r="N316" s="7">
        <v>0</v>
      </c>
      <c r="O316" s="7">
        <v>0</v>
      </c>
      <c r="P316" s="16">
        <f aca="true" t="shared" si="22" ref="P316:P370">SUM(N316:O316)</f>
        <v>0</v>
      </c>
    </row>
    <row r="317" spans="1:16" ht="12.75">
      <c r="A317" s="42">
        <v>69</v>
      </c>
      <c r="B317" s="4" t="s">
        <v>317</v>
      </c>
      <c r="C317" s="127">
        <f>755.28-248.73-43.5-35.92-45.73-45.75-47.21</f>
        <v>288.43999999999994</v>
      </c>
      <c r="D317" s="7">
        <f>374.51+248.73+43.5+35.92+45.73+45.75+47.21</f>
        <v>841.35</v>
      </c>
      <c r="E317" s="7">
        <v>0</v>
      </c>
      <c r="F317" s="7">
        <v>0</v>
      </c>
      <c r="G317" s="31">
        <f t="shared" si="19"/>
        <v>288.43999999999994</v>
      </c>
      <c r="H317" s="31">
        <f t="shared" si="19"/>
        <v>841.35</v>
      </c>
      <c r="I317" s="31">
        <f aca="true" t="shared" si="23" ref="I317:I370">C317+D317+E317+F317</f>
        <v>1129.79</v>
      </c>
      <c r="J317" s="152">
        <f t="shared" si="20"/>
        <v>0.2553040830596836</v>
      </c>
      <c r="K317" s="15">
        <v>7</v>
      </c>
      <c r="L317" s="15">
        <v>19</v>
      </c>
      <c r="M317" s="15">
        <f t="shared" si="21"/>
        <v>26</v>
      </c>
      <c r="N317" s="7">
        <v>0</v>
      </c>
      <c r="O317" s="7">
        <v>0</v>
      </c>
      <c r="P317" s="16">
        <f t="shared" si="22"/>
        <v>0</v>
      </c>
    </row>
    <row r="318" spans="1:16" ht="12.75">
      <c r="A318" s="21">
        <v>70</v>
      </c>
      <c r="B318" s="4" t="s">
        <v>318</v>
      </c>
      <c r="C318" s="127">
        <f>371.41-49.53-54.4-39</f>
        <v>228.48000000000002</v>
      </c>
      <c r="D318" s="7">
        <f>483.2+49.53+54.4+39</f>
        <v>626.13</v>
      </c>
      <c r="E318" s="7">
        <v>0</v>
      </c>
      <c r="F318" s="7">
        <v>0</v>
      </c>
      <c r="G318" s="31">
        <f t="shared" si="19"/>
        <v>228.48000000000002</v>
      </c>
      <c r="H318" s="31">
        <f t="shared" si="19"/>
        <v>626.13</v>
      </c>
      <c r="I318" s="31">
        <f t="shared" si="23"/>
        <v>854.61</v>
      </c>
      <c r="J318" s="152">
        <f t="shared" si="20"/>
        <v>0.2673500193070524</v>
      </c>
      <c r="K318" s="15">
        <f>8-2-1</f>
        <v>5</v>
      </c>
      <c r="L318" s="15">
        <f>10+2+1</f>
        <v>13</v>
      </c>
      <c r="M318" s="15">
        <f t="shared" si="21"/>
        <v>18</v>
      </c>
      <c r="N318" s="7">
        <v>0</v>
      </c>
      <c r="O318" s="7">
        <v>0</v>
      </c>
      <c r="P318" s="16">
        <f t="shared" si="22"/>
        <v>0</v>
      </c>
    </row>
    <row r="319" spans="1:16" ht="12.75">
      <c r="A319" s="21">
        <v>71</v>
      </c>
      <c r="B319" s="4" t="s">
        <v>319</v>
      </c>
      <c r="C319" s="127">
        <f>415.43-207-47-34-47-34</f>
        <v>46.43000000000001</v>
      </c>
      <c r="D319" s="7">
        <f>441.53+207+47+34+47+34</f>
        <v>810.53</v>
      </c>
      <c r="E319" s="7">
        <v>0</v>
      </c>
      <c r="F319" s="7">
        <v>0</v>
      </c>
      <c r="G319" s="31">
        <f t="shared" si="19"/>
        <v>46.43000000000001</v>
      </c>
      <c r="H319" s="31">
        <f t="shared" si="19"/>
        <v>810.53</v>
      </c>
      <c r="I319" s="31">
        <f t="shared" si="23"/>
        <v>856.96</v>
      </c>
      <c r="J319" s="152">
        <f t="shared" si="20"/>
        <v>0.05417989171023152</v>
      </c>
      <c r="K319" s="15">
        <f>10-5-1-2-1</f>
        <v>1</v>
      </c>
      <c r="L319" s="15">
        <f>10+5+1+2+1</f>
        <v>19</v>
      </c>
      <c r="M319" s="15">
        <f t="shared" si="21"/>
        <v>20</v>
      </c>
      <c r="N319" s="7">
        <v>0</v>
      </c>
      <c r="O319" s="7">
        <v>0</v>
      </c>
      <c r="P319" s="16">
        <f t="shared" si="22"/>
        <v>0</v>
      </c>
    </row>
    <row r="320" spans="1:16" ht="13.5" thickBot="1">
      <c r="A320" s="21">
        <v>72</v>
      </c>
      <c r="B320" s="4" t="s">
        <v>320</v>
      </c>
      <c r="C320" s="127">
        <f>527.38-49.05-37.66-38.44-49.29-38.44</f>
        <v>314.49999999999994</v>
      </c>
      <c r="D320" s="7">
        <f>742.45+49.05+1.21+37.66+38.44+49.29+38.44</f>
        <v>956.54</v>
      </c>
      <c r="E320" s="7">
        <v>0</v>
      </c>
      <c r="F320" s="7">
        <v>0</v>
      </c>
      <c r="G320" s="31">
        <f t="shared" si="19"/>
        <v>314.49999999999994</v>
      </c>
      <c r="H320" s="31">
        <f t="shared" si="19"/>
        <v>956.54</v>
      </c>
      <c r="I320" s="31">
        <f t="shared" si="23"/>
        <v>1271.04</v>
      </c>
      <c r="J320" s="152">
        <f t="shared" si="20"/>
        <v>0.24743517119838868</v>
      </c>
      <c r="K320" s="15">
        <f>11-1-1-1-1-1</f>
        <v>6</v>
      </c>
      <c r="L320" s="15">
        <f>15+1+1+1+1+1</f>
        <v>20</v>
      </c>
      <c r="M320" s="15">
        <f t="shared" si="21"/>
        <v>26</v>
      </c>
      <c r="N320" s="7">
        <v>0</v>
      </c>
      <c r="O320" s="7">
        <v>0</v>
      </c>
      <c r="P320" s="16">
        <f t="shared" si="22"/>
        <v>0</v>
      </c>
    </row>
    <row r="321" spans="1:16" ht="12.75">
      <c r="A321" s="42">
        <v>73</v>
      </c>
      <c r="B321" s="4" t="s">
        <v>321</v>
      </c>
      <c r="C321" s="127">
        <f>433.62-38.57-55.15-37.25</f>
        <v>302.65000000000003</v>
      </c>
      <c r="D321" s="7">
        <f>424.01+38.57+55.15+37.25</f>
        <v>554.98</v>
      </c>
      <c r="E321" s="7">
        <v>0</v>
      </c>
      <c r="F321" s="7">
        <v>0</v>
      </c>
      <c r="G321" s="31">
        <f t="shared" si="19"/>
        <v>302.65000000000003</v>
      </c>
      <c r="H321" s="31">
        <f t="shared" si="19"/>
        <v>554.98</v>
      </c>
      <c r="I321" s="31">
        <f t="shared" si="23"/>
        <v>857.6300000000001</v>
      </c>
      <c r="J321" s="152">
        <f t="shared" si="20"/>
        <v>0.35289110688758557</v>
      </c>
      <c r="K321" s="15">
        <f>9-1-1-1</f>
        <v>6</v>
      </c>
      <c r="L321" s="15">
        <f>9+1+1+1</f>
        <v>12</v>
      </c>
      <c r="M321" s="15">
        <f t="shared" si="21"/>
        <v>18</v>
      </c>
      <c r="N321" s="7">
        <v>0</v>
      </c>
      <c r="O321" s="7">
        <v>0</v>
      </c>
      <c r="P321" s="16">
        <f t="shared" si="22"/>
        <v>0</v>
      </c>
    </row>
    <row r="322" spans="1:16" ht="12.75">
      <c r="A322" s="21">
        <v>74</v>
      </c>
      <c r="B322" s="4" t="s">
        <v>322</v>
      </c>
      <c r="C322" s="127">
        <f>431.98-35.28-48.14-50.26-47-48.29</f>
        <v>203.01000000000008</v>
      </c>
      <c r="D322" s="7">
        <f>760.22+35.28+48.14+50.26+47+48.29</f>
        <v>989.1899999999999</v>
      </c>
      <c r="E322" s="7">
        <v>0</v>
      </c>
      <c r="F322" s="7">
        <v>0</v>
      </c>
      <c r="G322" s="31">
        <f t="shared" si="19"/>
        <v>203.01000000000008</v>
      </c>
      <c r="H322" s="31">
        <f t="shared" si="19"/>
        <v>989.1899999999999</v>
      </c>
      <c r="I322" s="31">
        <f t="shared" si="23"/>
        <v>1192.2</v>
      </c>
      <c r="J322" s="152">
        <f t="shared" si="20"/>
        <v>0.17028183190739815</v>
      </c>
      <c r="K322" s="15">
        <f>10-1-1-1-1-1</f>
        <v>5</v>
      </c>
      <c r="L322" s="15">
        <f>17+1+1+1+1+1</f>
        <v>22</v>
      </c>
      <c r="M322" s="15">
        <f t="shared" si="21"/>
        <v>27</v>
      </c>
      <c r="N322" s="7">
        <v>0</v>
      </c>
      <c r="O322" s="7">
        <v>0</v>
      </c>
      <c r="P322" s="16">
        <f t="shared" si="22"/>
        <v>0</v>
      </c>
    </row>
    <row r="323" spans="1:16" ht="12.75">
      <c r="A323" s="21">
        <v>75</v>
      </c>
      <c r="B323" s="4" t="s">
        <v>323</v>
      </c>
      <c r="C323" s="127">
        <f>679.97-47.12-34.12-50.45</f>
        <v>548.28</v>
      </c>
      <c r="D323" s="7">
        <f>616.69+47.12+34.12+50.45</f>
        <v>748.3800000000001</v>
      </c>
      <c r="E323" s="7">
        <v>260.41</v>
      </c>
      <c r="F323" s="7">
        <v>35.7</v>
      </c>
      <c r="G323" s="31">
        <f t="shared" si="19"/>
        <v>808.69</v>
      </c>
      <c r="H323" s="31">
        <f t="shared" si="19"/>
        <v>784.0800000000002</v>
      </c>
      <c r="I323" s="31">
        <f t="shared" si="23"/>
        <v>1592.7700000000002</v>
      </c>
      <c r="J323" s="152">
        <f t="shared" si="20"/>
        <v>0.5077255347601977</v>
      </c>
      <c r="K323" s="15">
        <f>16-1-1-1</f>
        <v>13</v>
      </c>
      <c r="L323" s="15">
        <f>15+1+1+1</f>
        <v>18</v>
      </c>
      <c r="M323" s="15">
        <f t="shared" si="21"/>
        <v>31</v>
      </c>
      <c r="N323" s="15">
        <v>4</v>
      </c>
      <c r="O323" s="15">
        <v>1</v>
      </c>
      <c r="P323" s="16">
        <f t="shared" si="22"/>
        <v>5</v>
      </c>
    </row>
    <row r="324" spans="1:16" ht="13.5" thickBot="1">
      <c r="A324" s="21">
        <v>76</v>
      </c>
      <c r="B324" s="4" t="s">
        <v>324</v>
      </c>
      <c r="C324" s="127">
        <f>325.05-43.71</f>
        <v>281.34000000000003</v>
      </c>
      <c r="D324" s="7">
        <f>21+43.71</f>
        <v>64.71000000000001</v>
      </c>
      <c r="E324" s="7">
        <v>0</v>
      </c>
      <c r="F324" s="7">
        <v>0</v>
      </c>
      <c r="G324" s="31">
        <f t="shared" si="19"/>
        <v>281.34000000000003</v>
      </c>
      <c r="H324" s="31">
        <f t="shared" si="19"/>
        <v>64.71000000000001</v>
      </c>
      <c r="I324" s="31">
        <f t="shared" si="23"/>
        <v>346.05000000000007</v>
      </c>
      <c r="J324" s="152">
        <f t="shared" si="20"/>
        <v>0.813003901170351</v>
      </c>
      <c r="K324" s="15">
        <v>11</v>
      </c>
      <c r="L324" s="15">
        <f>1+1</f>
        <v>2</v>
      </c>
      <c r="M324" s="15">
        <v>13</v>
      </c>
      <c r="N324" s="7">
        <v>0</v>
      </c>
      <c r="O324" s="7">
        <v>0</v>
      </c>
      <c r="P324" s="16">
        <f t="shared" si="22"/>
        <v>0</v>
      </c>
    </row>
    <row r="325" spans="1:16" ht="12.75">
      <c r="A325" s="42">
        <v>77</v>
      </c>
      <c r="B325" s="4" t="s">
        <v>325</v>
      </c>
      <c r="C325" s="127">
        <v>315.11</v>
      </c>
      <c r="D325" s="7">
        <v>21.09</v>
      </c>
      <c r="E325" s="7">
        <v>0</v>
      </c>
      <c r="F325" s="7">
        <v>0</v>
      </c>
      <c r="G325" s="31">
        <f t="shared" si="19"/>
        <v>315.11</v>
      </c>
      <c r="H325" s="31">
        <f t="shared" si="19"/>
        <v>21.09</v>
      </c>
      <c r="I325" s="31">
        <f t="shared" si="23"/>
        <v>336.2</v>
      </c>
      <c r="J325" s="152">
        <f t="shared" si="20"/>
        <v>0.9372694824509221</v>
      </c>
      <c r="K325" s="15">
        <v>13</v>
      </c>
      <c r="L325" s="15">
        <v>1</v>
      </c>
      <c r="M325" s="15">
        <f t="shared" si="21"/>
        <v>14</v>
      </c>
      <c r="N325" s="7">
        <v>0</v>
      </c>
      <c r="O325" s="7">
        <v>0</v>
      </c>
      <c r="P325" s="16">
        <f t="shared" si="22"/>
        <v>0</v>
      </c>
    </row>
    <row r="326" spans="1:16" ht="12.75">
      <c r="A326" s="21">
        <v>78</v>
      </c>
      <c r="B326" s="4" t="s">
        <v>326</v>
      </c>
      <c r="C326" s="127">
        <f>1222.13-530.27-68.2-69.33-61.84-62.91-67.51-43.79</f>
        <v>318.28000000000003</v>
      </c>
      <c r="D326" s="7">
        <f>133.47+530.27+68.2+69.33+61.84+62.91+67.51+43.79</f>
        <v>1037.3200000000002</v>
      </c>
      <c r="E326" s="7">
        <v>0</v>
      </c>
      <c r="F326" s="7">
        <v>0</v>
      </c>
      <c r="G326" s="31">
        <f t="shared" si="19"/>
        <v>318.28000000000003</v>
      </c>
      <c r="H326" s="31">
        <f t="shared" si="19"/>
        <v>1037.3200000000002</v>
      </c>
      <c r="I326" s="31">
        <f t="shared" si="23"/>
        <v>1355.6000000000001</v>
      </c>
      <c r="J326" s="152">
        <f>G326/I326</f>
        <v>0.2347890233107111</v>
      </c>
      <c r="K326" s="15">
        <f>22-9-2-1-1-1-1</f>
        <v>7</v>
      </c>
      <c r="L326" s="15">
        <f>2+9+2+1+1+1+1</f>
        <v>17</v>
      </c>
      <c r="M326" s="15">
        <f t="shared" si="21"/>
        <v>24</v>
      </c>
      <c r="N326" s="7">
        <v>0</v>
      </c>
      <c r="O326" s="7">
        <v>0</v>
      </c>
      <c r="P326" s="16">
        <f t="shared" si="22"/>
        <v>0</v>
      </c>
    </row>
    <row r="327" spans="1:16" ht="12.75">
      <c r="A327" s="21">
        <v>79</v>
      </c>
      <c r="B327" s="4" t="s">
        <v>327</v>
      </c>
      <c r="C327" s="127">
        <f>550.48-50.73-48.79-32.97-20.78</f>
        <v>397.21000000000004</v>
      </c>
      <c r="D327" s="7">
        <f>290.37+50.73+48.79+32.97+20.78</f>
        <v>443.64</v>
      </c>
      <c r="E327" s="7">
        <v>74.21</v>
      </c>
      <c r="F327" s="7">
        <v>244.04</v>
      </c>
      <c r="G327" s="31">
        <f t="shared" si="19"/>
        <v>471.42</v>
      </c>
      <c r="H327" s="31">
        <f t="shared" si="19"/>
        <v>687.68</v>
      </c>
      <c r="I327" s="31">
        <f t="shared" si="23"/>
        <v>1159.1000000000001</v>
      </c>
      <c r="J327" s="152">
        <f t="shared" si="20"/>
        <v>0.4067121042187904</v>
      </c>
      <c r="K327" s="15">
        <v>10</v>
      </c>
      <c r="L327" s="15">
        <v>12</v>
      </c>
      <c r="M327" s="15">
        <f t="shared" si="21"/>
        <v>22</v>
      </c>
      <c r="N327" s="15">
        <v>1</v>
      </c>
      <c r="O327" s="15">
        <v>5</v>
      </c>
      <c r="P327" s="16">
        <f t="shared" si="22"/>
        <v>6</v>
      </c>
    </row>
    <row r="328" spans="1:16" ht="13.5" thickBot="1">
      <c r="A328" s="21">
        <v>80</v>
      </c>
      <c r="B328" s="154" t="s">
        <v>328</v>
      </c>
      <c r="C328" s="130">
        <f>122.9-122.9</f>
        <v>0</v>
      </c>
      <c r="D328" s="130">
        <f>680.6+122.9</f>
        <v>803.5</v>
      </c>
      <c r="E328" s="130">
        <v>0</v>
      </c>
      <c r="F328" s="130">
        <v>0</v>
      </c>
      <c r="G328" s="132">
        <f t="shared" si="19"/>
        <v>0</v>
      </c>
      <c r="H328" s="132">
        <f t="shared" si="19"/>
        <v>803.5</v>
      </c>
      <c r="I328" s="132">
        <f t="shared" si="23"/>
        <v>803.5</v>
      </c>
      <c r="J328" s="155">
        <f t="shared" si="20"/>
        <v>0</v>
      </c>
      <c r="K328" s="131">
        <f>3-3</f>
        <v>0</v>
      </c>
      <c r="L328" s="131">
        <f>17+3</f>
        <v>20</v>
      </c>
      <c r="M328" s="131">
        <f t="shared" si="21"/>
        <v>20</v>
      </c>
      <c r="N328" s="130">
        <v>0</v>
      </c>
      <c r="O328" s="130">
        <v>0</v>
      </c>
      <c r="P328" s="156">
        <f t="shared" si="22"/>
        <v>0</v>
      </c>
    </row>
    <row r="329" spans="1:16" ht="12.75">
      <c r="A329" s="42">
        <v>81</v>
      </c>
      <c r="B329" s="4" t="s">
        <v>329</v>
      </c>
      <c r="C329" s="127">
        <f>213.25-24.7-34.3-64.78</f>
        <v>89.47</v>
      </c>
      <c r="D329" s="7">
        <f>156.42+24.7+34.3+64.78</f>
        <v>280.19999999999993</v>
      </c>
      <c r="E329" s="7">
        <v>0</v>
      </c>
      <c r="F329" s="7">
        <v>0</v>
      </c>
      <c r="G329" s="31">
        <f t="shared" si="19"/>
        <v>89.47</v>
      </c>
      <c r="H329" s="31">
        <f t="shared" si="19"/>
        <v>280.19999999999993</v>
      </c>
      <c r="I329" s="31">
        <f t="shared" si="23"/>
        <v>369.66999999999996</v>
      </c>
      <c r="J329" s="152">
        <f t="shared" si="20"/>
        <v>0.2420266724375795</v>
      </c>
      <c r="K329" s="15">
        <f>5-1-1-1</f>
        <v>2</v>
      </c>
      <c r="L329" s="15">
        <f>5+1+1+1</f>
        <v>8</v>
      </c>
      <c r="M329" s="15">
        <f t="shared" si="21"/>
        <v>10</v>
      </c>
      <c r="N329" s="7">
        <v>0</v>
      </c>
      <c r="O329" s="7">
        <v>0</v>
      </c>
      <c r="P329" s="16">
        <f t="shared" si="22"/>
        <v>0</v>
      </c>
    </row>
    <row r="330" spans="1:16" ht="12.75">
      <c r="A330" s="21">
        <v>82</v>
      </c>
      <c r="B330" s="4" t="s">
        <v>330</v>
      </c>
      <c r="C330" s="127">
        <v>252.69</v>
      </c>
      <c r="D330" s="7">
        <f>46-46</f>
        <v>0</v>
      </c>
      <c r="E330" s="7">
        <v>0</v>
      </c>
      <c r="F330" s="7">
        <f>19.7+46</f>
        <v>65.7</v>
      </c>
      <c r="G330" s="31">
        <f aca="true" t="shared" si="24" ref="G330:H370">C330+E330</f>
        <v>252.69</v>
      </c>
      <c r="H330" s="31">
        <f t="shared" si="24"/>
        <v>65.7</v>
      </c>
      <c r="I330" s="31">
        <f t="shared" si="23"/>
        <v>318.39</v>
      </c>
      <c r="J330" s="152">
        <f>G330/I330</f>
        <v>0.793649298030717</v>
      </c>
      <c r="K330" s="15">
        <v>7</v>
      </c>
      <c r="L330" s="15">
        <f>1-1</f>
        <v>0</v>
      </c>
      <c r="M330" s="15">
        <f t="shared" si="21"/>
        <v>7</v>
      </c>
      <c r="N330" s="7">
        <v>0</v>
      </c>
      <c r="O330" s="15">
        <f>1+1</f>
        <v>2</v>
      </c>
      <c r="P330" s="16">
        <f t="shared" si="22"/>
        <v>2</v>
      </c>
    </row>
    <row r="331" spans="1:16" ht="12.75">
      <c r="A331" s="21">
        <v>83</v>
      </c>
      <c r="B331" s="4" t="s">
        <v>331</v>
      </c>
      <c r="C331" s="127">
        <f>271.77+8.25+8.25-43+3.55-46.1-42.09-42.09</f>
        <v>118.53999999999999</v>
      </c>
      <c r="D331" s="7">
        <f>124.9+43+46.1+42.09+42.09</f>
        <v>298.18000000000006</v>
      </c>
      <c r="E331" s="7">
        <v>0</v>
      </c>
      <c r="F331" s="7">
        <v>0</v>
      </c>
      <c r="G331" s="31">
        <f t="shared" si="24"/>
        <v>118.53999999999999</v>
      </c>
      <c r="H331" s="31">
        <f t="shared" si="24"/>
        <v>298.18000000000006</v>
      </c>
      <c r="I331" s="31">
        <f t="shared" si="23"/>
        <v>416.72</v>
      </c>
      <c r="J331" s="152">
        <f t="shared" si="20"/>
        <v>0.28445958917258585</v>
      </c>
      <c r="K331" s="15">
        <v>4</v>
      </c>
      <c r="L331" s="15">
        <v>8</v>
      </c>
      <c r="M331" s="15">
        <f t="shared" si="21"/>
        <v>12</v>
      </c>
      <c r="N331" s="7">
        <v>0</v>
      </c>
      <c r="O331" s="7">
        <v>0</v>
      </c>
      <c r="P331" s="16">
        <f t="shared" si="22"/>
        <v>0</v>
      </c>
    </row>
    <row r="332" spans="1:16" ht="13.5" thickBot="1">
      <c r="A332" s="21">
        <v>84</v>
      </c>
      <c r="B332" s="158" t="s">
        <v>332</v>
      </c>
      <c r="C332" s="159">
        <f>201.55-22.3-39.58-23.22-38.65-38.5-39.3</f>
        <v>0</v>
      </c>
      <c r="D332" s="159">
        <f>92.3+22.3+39.58+23.22+38.65+38.5+39.3</f>
        <v>293.85</v>
      </c>
      <c r="E332" s="159">
        <v>0</v>
      </c>
      <c r="F332" s="159">
        <v>0</v>
      </c>
      <c r="G332" s="160">
        <f t="shared" si="24"/>
        <v>0</v>
      </c>
      <c r="H332" s="160">
        <f t="shared" si="24"/>
        <v>293.85</v>
      </c>
      <c r="I332" s="160">
        <f t="shared" si="23"/>
        <v>293.85</v>
      </c>
      <c r="J332" s="161">
        <f t="shared" si="20"/>
        <v>0</v>
      </c>
      <c r="K332" s="162">
        <f>6-2-1-1-1-1</f>
        <v>0</v>
      </c>
      <c r="L332" s="162">
        <f>3+2+1-1+1+1+1</f>
        <v>8</v>
      </c>
      <c r="M332" s="162">
        <v>8</v>
      </c>
      <c r="N332" s="159">
        <v>0</v>
      </c>
      <c r="O332" s="159">
        <v>0</v>
      </c>
      <c r="P332" s="163">
        <f t="shared" si="22"/>
        <v>0</v>
      </c>
    </row>
    <row r="333" spans="1:16" ht="12.75">
      <c r="A333" s="42">
        <v>85</v>
      </c>
      <c r="B333" s="4" t="s">
        <v>333</v>
      </c>
      <c r="C333" s="127">
        <v>213.55</v>
      </c>
      <c r="D333" s="7">
        <v>181.5</v>
      </c>
      <c r="E333" s="7">
        <v>0</v>
      </c>
      <c r="F333" s="7">
        <v>0</v>
      </c>
      <c r="G333" s="31">
        <f t="shared" si="24"/>
        <v>213.55</v>
      </c>
      <c r="H333" s="31">
        <f t="shared" si="24"/>
        <v>181.5</v>
      </c>
      <c r="I333" s="31">
        <f t="shared" si="23"/>
        <v>395.05</v>
      </c>
      <c r="J333" s="152">
        <f t="shared" si="20"/>
        <v>0.5405644855081635</v>
      </c>
      <c r="K333" s="15">
        <v>6</v>
      </c>
      <c r="L333" s="15">
        <v>4</v>
      </c>
      <c r="M333" s="15">
        <f t="shared" si="21"/>
        <v>10</v>
      </c>
      <c r="N333" s="7">
        <v>0</v>
      </c>
      <c r="O333" s="7">
        <v>0</v>
      </c>
      <c r="P333" s="16">
        <f t="shared" si="22"/>
        <v>0</v>
      </c>
    </row>
    <row r="334" spans="1:16" ht="12.75">
      <c r="A334" s="21">
        <v>86</v>
      </c>
      <c r="B334" s="4" t="s">
        <v>334</v>
      </c>
      <c r="C334" s="127">
        <v>296.02</v>
      </c>
      <c r="D334" s="7">
        <v>96.17</v>
      </c>
      <c r="E334" s="7">
        <v>0</v>
      </c>
      <c r="F334" s="7">
        <v>0</v>
      </c>
      <c r="G334" s="31">
        <f t="shared" si="24"/>
        <v>296.02</v>
      </c>
      <c r="H334" s="31">
        <f t="shared" si="24"/>
        <v>96.17</v>
      </c>
      <c r="I334" s="31">
        <f t="shared" si="23"/>
        <v>392.19</v>
      </c>
      <c r="J334" s="152">
        <f t="shared" si="20"/>
        <v>0.7547872204798695</v>
      </c>
      <c r="K334" s="15">
        <v>9</v>
      </c>
      <c r="L334" s="15">
        <v>4</v>
      </c>
      <c r="M334" s="15">
        <f t="shared" si="21"/>
        <v>13</v>
      </c>
      <c r="N334" s="7">
        <v>0</v>
      </c>
      <c r="O334" s="7">
        <v>0</v>
      </c>
      <c r="P334" s="16">
        <f t="shared" si="22"/>
        <v>0</v>
      </c>
    </row>
    <row r="335" spans="1:16" ht="12.75">
      <c r="A335" s="21">
        <v>87</v>
      </c>
      <c r="B335" s="4" t="s">
        <v>335</v>
      </c>
      <c r="C335" s="127"/>
      <c r="D335" s="7">
        <v>253.2</v>
      </c>
      <c r="E335" s="7"/>
      <c r="F335" s="7">
        <v>68.1</v>
      </c>
      <c r="G335" s="31"/>
      <c r="H335" s="31">
        <v>253.2</v>
      </c>
      <c r="I335" s="31">
        <v>253.2</v>
      </c>
      <c r="J335" s="152"/>
      <c r="K335" s="15">
        <v>0</v>
      </c>
      <c r="L335" s="15">
        <v>5</v>
      </c>
      <c r="M335" s="15">
        <f t="shared" si="21"/>
        <v>5</v>
      </c>
      <c r="N335" s="7"/>
      <c r="O335" s="164">
        <v>2</v>
      </c>
      <c r="P335" s="16">
        <v>2</v>
      </c>
    </row>
    <row r="336" spans="1:16" ht="13.5" thickBot="1">
      <c r="A336" s="21">
        <v>88</v>
      </c>
      <c r="B336" s="4" t="s">
        <v>336</v>
      </c>
      <c r="C336" s="127">
        <f>330.93-36.48-47.57-34-49.82-36.48</f>
        <v>126.58000000000001</v>
      </c>
      <c r="D336" s="7">
        <f>458.05+36.48+47.57+34+49.82+36.48</f>
        <v>662.4000000000001</v>
      </c>
      <c r="E336" s="7">
        <v>0</v>
      </c>
      <c r="F336" s="7">
        <v>0</v>
      </c>
      <c r="G336" s="31">
        <f t="shared" si="24"/>
        <v>126.58000000000001</v>
      </c>
      <c r="H336" s="31">
        <f t="shared" si="24"/>
        <v>662.4000000000001</v>
      </c>
      <c r="I336" s="31">
        <f t="shared" si="23"/>
        <v>788.9800000000001</v>
      </c>
      <c r="J336" s="152">
        <f t="shared" si="20"/>
        <v>0.16043499201500672</v>
      </c>
      <c r="K336" s="15">
        <f>8-1-1-1-1-1</f>
        <v>3</v>
      </c>
      <c r="L336" s="15">
        <f>10+1+1+1+1+1</f>
        <v>15</v>
      </c>
      <c r="M336" s="15">
        <f t="shared" si="21"/>
        <v>18</v>
      </c>
      <c r="N336" s="7">
        <v>0</v>
      </c>
      <c r="O336" s="7">
        <v>0</v>
      </c>
      <c r="P336" s="16">
        <f t="shared" si="22"/>
        <v>0</v>
      </c>
    </row>
    <row r="337" spans="1:16" ht="12.75">
      <c r="A337" s="42">
        <v>89</v>
      </c>
      <c r="B337" s="4" t="s">
        <v>337</v>
      </c>
      <c r="C337" s="127">
        <f>249.6-36.96-50.47-35.65-45.33</f>
        <v>81.18999999999998</v>
      </c>
      <c r="D337" s="7">
        <f>418.58+36.96+50.47+35.65+45.33</f>
        <v>586.99</v>
      </c>
      <c r="E337" s="7">
        <v>121.7</v>
      </c>
      <c r="F337" s="7">
        <v>0</v>
      </c>
      <c r="G337" s="31">
        <f t="shared" si="24"/>
        <v>202.89</v>
      </c>
      <c r="H337" s="31">
        <f t="shared" si="24"/>
        <v>586.99</v>
      </c>
      <c r="I337" s="31">
        <f t="shared" si="23"/>
        <v>789.88</v>
      </c>
      <c r="J337" s="152">
        <f t="shared" si="20"/>
        <v>0.25686180179267737</v>
      </c>
      <c r="K337" s="15">
        <f>6-1-1-1-1</f>
        <v>2</v>
      </c>
      <c r="L337" s="15">
        <f>10+1+1+1+1</f>
        <v>14</v>
      </c>
      <c r="M337" s="15">
        <f t="shared" si="21"/>
        <v>16</v>
      </c>
      <c r="N337" s="15">
        <v>2</v>
      </c>
      <c r="O337" s="7">
        <v>0</v>
      </c>
      <c r="P337" s="16">
        <f t="shared" si="22"/>
        <v>2</v>
      </c>
    </row>
    <row r="338" spans="1:16" ht="12.75">
      <c r="A338" s="21">
        <v>90</v>
      </c>
      <c r="B338" s="154" t="s">
        <v>338</v>
      </c>
      <c r="C338" s="130">
        <v>0</v>
      </c>
      <c r="D338" s="130">
        <f>1144.14-0.73</f>
        <v>1143.41</v>
      </c>
      <c r="E338" s="130">
        <v>0</v>
      </c>
      <c r="F338" s="130">
        <v>0</v>
      </c>
      <c r="G338" s="132">
        <f t="shared" si="24"/>
        <v>0</v>
      </c>
      <c r="H338" s="132">
        <f t="shared" si="24"/>
        <v>1143.41</v>
      </c>
      <c r="I338" s="132">
        <f t="shared" si="23"/>
        <v>1143.41</v>
      </c>
      <c r="J338" s="155">
        <f t="shared" si="20"/>
        <v>0</v>
      </c>
      <c r="K338" s="131">
        <v>0</v>
      </c>
      <c r="L338" s="131">
        <v>26</v>
      </c>
      <c r="M338" s="131">
        <f t="shared" si="21"/>
        <v>26</v>
      </c>
      <c r="N338" s="130">
        <v>0</v>
      </c>
      <c r="O338" s="130">
        <v>0</v>
      </c>
      <c r="P338" s="156">
        <f t="shared" si="22"/>
        <v>0</v>
      </c>
    </row>
    <row r="339" spans="1:16" ht="12.75">
      <c r="A339" s="21">
        <v>91</v>
      </c>
      <c r="B339" s="4" t="s">
        <v>339</v>
      </c>
      <c r="C339" s="127">
        <f>270.5-46-47</f>
        <v>177.5</v>
      </c>
      <c r="D339" s="7">
        <f>878.55+46+47</f>
        <v>971.55</v>
      </c>
      <c r="E339" s="7">
        <v>0</v>
      </c>
      <c r="F339" s="7">
        <v>0</v>
      </c>
      <c r="G339" s="31">
        <f t="shared" si="24"/>
        <v>177.5</v>
      </c>
      <c r="H339" s="31">
        <f t="shared" si="24"/>
        <v>971.55</v>
      </c>
      <c r="I339" s="31">
        <f t="shared" si="23"/>
        <v>1149.05</v>
      </c>
      <c r="J339" s="152">
        <f t="shared" si="20"/>
        <v>0.15447543622992907</v>
      </c>
      <c r="K339" s="15">
        <f>6-2</f>
        <v>4</v>
      </c>
      <c r="L339" s="15">
        <f>20+2</f>
        <v>22</v>
      </c>
      <c r="M339" s="15">
        <f t="shared" si="21"/>
        <v>26</v>
      </c>
      <c r="N339" s="7">
        <v>0</v>
      </c>
      <c r="O339" s="7">
        <v>0</v>
      </c>
      <c r="P339" s="16">
        <f t="shared" si="22"/>
        <v>0</v>
      </c>
    </row>
    <row r="340" spans="1:16" ht="13.5" thickBot="1">
      <c r="A340" s="21">
        <v>92</v>
      </c>
      <c r="B340" s="4" t="s">
        <v>340</v>
      </c>
      <c r="C340" s="127">
        <f>370.75-21.5-14-5.74+43.78-53.37-39.68-15.22-26.35-38.16+11.5</f>
        <v>212.00999999999993</v>
      </c>
      <c r="D340" s="7">
        <f>126.37+21.5+14+12.32+53.37+39.68+15.22+26.35+38.16-11.5</f>
        <v>335.47</v>
      </c>
      <c r="E340" s="7">
        <f>59.36+7.16-43.78</f>
        <v>22.739999999999995</v>
      </c>
      <c r="F340" s="7">
        <v>0</v>
      </c>
      <c r="G340" s="31">
        <f t="shared" si="24"/>
        <v>234.74999999999994</v>
      </c>
      <c r="H340" s="31">
        <f t="shared" si="24"/>
        <v>335.47</v>
      </c>
      <c r="I340" s="31">
        <f t="shared" si="23"/>
        <v>570.22</v>
      </c>
      <c r="J340" s="152">
        <f t="shared" si="20"/>
        <v>0.4116832099891269</v>
      </c>
      <c r="K340" s="15">
        <f>12-1-1-1+1-1-1-1-1</f>
        <v>6</v>
      </c>
      <c r="L340" s="15">
        <f>5+1+1+1+1+1+1+1</f>
        <v>12</v>
      </c>
      <c r="M340" s="15">
        <f t="shared" si="21"/>
        <v>18</v>
      </c>
      <c r="N340" s="15">
        <f>2-1</f>
        <v>1</v>
      </c>
      <c r="O340" s="7">
        <v>0</v>
      </c>
      <c r="P340" s="16">
        <f t="shared" si="22"/>
        <v>1</v>
      </c>
    </row>
    <row r="341" spans="1:16" ht="12.75">
      <c r="A341" s="42">
        <v>93</v>
      </c>
      <c r="B341" s="4" t="s">
        <v>341</v>
      </c>
      <c r="C341" s="127">
        <f>297.44-112.35-46.26+48</f>
        <v>186.83</v>
      </c>
      <c r="D341" s="127">
        <f>64.29+112.35+46.26</f>
        <v>222.89999999999998</v>
      </c>
      <c r="E341" s="127">
        <f>180.17-48</f>
        <v>132.17</v>
      </c>
      <c r="F341" s="127">
        <v>0</v>
      </c>
      <c r="G341" s="31">
        <f t="shared" si="24"/>
        <v>319</v>
      </c>
      <c r="H341" s="31">
        <f t="shared" si="24"/>
        <v>222.89999999999998</v>
      </c>
      <c r="I341" s="31">
        <f t="shared" si="23"/>
        <v>541.9</v>
      </c>
      <c r="J341" s="152">
        <f t="shared" si="20"/>
        <v>0.5886694962170143</v>
      </c>
      <c r="K341" s="15">
        <f>6-1-1-1+1</f>
        <v>4</v>
      </c>
      <c r="L341" s="15">
        <f>1+1</f>
        <v>2</v>
      </c>
      <c r="M341" s="15">
        <f t="shared" si="21"/>
        <v>6</v>
      </c>
      <c r="N341" s="15">
        <f>2-1</f>
        <v>1</v>
      </c>
      <c r="O341" s="127">
        <v>0</v>
      </c>
      <c r="P341" s="16">
        <f t="shared" si="22"/>
        <v>1</v>
      </c>
    </row>
    <row r="342" spans="1:16" ht="12.75">
      <c r="A342" s="21">
        <v>94</v>
      </c>
      <c r="B342" s="4" t="s">
        <v>342</v>
      </c>
      <c r="C342" s="127">
        <f>248.64-21.39-23.96</f>
        <v>203.29</v>
      </c>
      <c r="D342" s="7">
        <f>36.28+21.39+23.96</f>
        <v>81.63</v>
      </c>
      <c r="E342" s="7">
        <v>0</v>
      </c>
      <c r="F342" s="7">
        <v>0</v>
      </c>
      <c r="G342" s="31">
        <f t="shared" si="24"/>
        <v>203.29</v>
      </c>
      <c r="H342" s="31">
        <f t="shared" si="24"/>
        <v>81.63</v>
      </c>
      <c r="I342" s="31">
        <f t="shared" si="23"/>
        <v>284.91999999999996</v>
      </c>
      <c r="J342" s="152">
        <f t="shared" si="20"/>
        <v>0.7134985259020077</v>
      </c>
      <c r="K342" s="15">
        <f>11-1-1</f>
        <v>9</v>
      </c>
      <c r="L342" s="15">
        <f>2+1+1</f>
        <v>4</v>
      </c>
      <c r="M342" s="15">
        <f t="shared" si="21"/>
        <v>13</v>
      </c>
      <c r="N342" s="7">
        <v>0</v>
      </c>
      <c r="O342" s="7">
        <v>0</v>
      </c>
      <c r="P342" s="16">
        <f t="shared" si="22"/>
        <v>0</v>
      </c>
    </row>
    <row r="343" spans="1:16" ht="12.75">
      <c r="A343" s="21">
        <v>95</v>
      </c>
      <c r="B343" s="4" t="s">
        <v>343</v>
      </c>
      <c r="C343" s="127">
        <f>113.44-22.32</f>
        <v>91.12</v>
      </c>
      <c r="D343" s="7">
        <f>192.38+22.32</f>
        <v>214.7</v>
      </c>
      <c r="E343" s="7">
        <v>0</v>
      </c>
      <c r="F343" s="7">
        <v>0</v>
      </c>
      <c r="G343" s="31">
        <f t="shared" si="24"/>
        <v>91.12</v>
      </c>
      <c r="H343" s="31">
        <f t="shared" si="24"/>
        <v>214.7</v>
      </c>
      <c r="I343" s="31">
        <f t="shared" si="23"/>
        <v>305.82</v>
      </c>
      <c r="J343" s="152">
        <f t="shared" si="20"/>
        <v>0.29795304427440983</v>
      </c>
      <c r="K343" s="15">
        <f>5-1</f>
        <v>4</v>
      </c>
      <c r="L343" s="15">
        <f>6+1</f>
        <v>7</v>
      </c>
      <c r="M343" s="15">
        <f t="shared" si="21"/>
        <v>11</v>
      </c>
      <c r="N343" s="7">
        <v>0</v>
      </c>
      <c r="O343" s="7">
        <v>0</v>
      </c>
      <c r="P343" s="16">
        <f t="shared" si="22"/>
        <v>0</v>
      </c>
    </row>
    <row r="344" spans="1:16" ht="13.5" thickBot="1">
      <c r="A344" s="21">
        <v>96</v>
      </c>
      <c r="B344" s="4" t="s">
        <v>344</v>
      </c>
      <c r="C344" s="127">
        <f>143.6-38.38-13.56</f>
        <v>91.66</v>
      </c>
      <c r="D344" s="7">
        <f>206.28+38.38+13.56</f>
        <v>258.21999999999997</v>
      </c>
      <c r="E344" s="7">
        <v>0</v>
      </c>
      <c r="F344" s="7">
        <v>0</v>
      </c>
      <c r="G344" s="31">
        <f t="shared" si="24"/>
        <v>91.66</v>
      </c>
      <c r="H344" s="31">
        <f t="shared" si="24"/>
        <v>258.21999999999997</v>
      </c>
      <c r="I344" s="31">
        <f t="shared" si="23"/>
        <v>349.88</v>
      </c>
      <c r="J344" s="152">
        <f t="shared" si="20"/>
        <v>0.26197553446896077</v>
      </c>
      <c r="K344" s="15">
        <f>7-1-1</f>
        <v>5</v>
      </c>
      <c r="L344" s="15">
        <v>10</v>
      </c>
      <c r="M344" s="15">
        <f t="shared" si="21"/>
        <v>15</v>
      </c>
      <c r="N344" s="7">
        <v>0</v>
      </c>
      <c r="O344" s="7">
        <v>0</v>
      </c>
      <c r="P344" s="16">
        <f t="shared" si="22"/>
        <v>0</v>
      </c>
    </row>
    <row r="345" spans="1:16" ht="12.75">
      <c r="A345" s="42">
        <v>97</v>
      </c>
      <c r="B345" s="4" t="s">
        <v>345</v>
      </c>
      <c r="C345" s="127">
        <f>332.96-15.18-16.75</f>
        <v>301.03</v>
      </c>
      <c r="D345" s="7">
        <f>132.62+15.18+16.75</f>
        <v>164.55</v>
      </c>
      <c r="E345" s="7">
        <v>0</v>
      </c>
      <c r="F345" s="7">
        <v>0</v>
      </c>
      <c r="G345" s="31">
        <f t="shared" si="24"/>
        <v>301.03</v>
      </c>
      <c r="H345" s="31">
        <f t="shared" si="24"/>
        <v>164.55</v>
      </c>
      <c r="I345" s="31">
        <f t="shared" si="23"/>
        <v>465.58</v>
      </c>
      <c r="J345" s="152">
        <f t="shared" si="20"/>
        <v>0.6465698698397697</v>
      </c>
      <c r="K345" s="15">
        <f>14-1-1</f>
        <v>12</v>
      </c>
      <c r="L345" s="15">
        <f>5+1+1</f>
        <v>7</v>
      </c>
      <c r="M345" s="15">
        <f t="shared" si="21"/>
        <v>19</v>
      </c>
      <c r="N345" s="7">
        <v>0</v>
      </c>
      <c r="O345" s="7">
        <v>0</v>
      </c>
      <c r="P345" s="16">
        <f t="shared" si="22"/>
        <v>0</v>
      </c>
    </row>
    <row r="346" spans="1:16" ht="12.75">
      <c r="A346" s="21">
        <v>98</v>
      </c>
      <c r="B346" s="4" t="s">
        <v>346</v>
      </c>
      <c r="C346" s="127">
        <f>215.51-37.72-38.8</f>
        <v>138.99</v>
      </c>
      <c r="D346" s="7">
        <f>89.87+37.72+38.8</f>
        <v>166.39</v>
      </c>
      <c r="E346" s="7">
        <v>0</v>
      </c>
      <c r="F346" s="7">
        <v>0</v>
      </c>
      <c r="G346" s="31">
        <f t="shared" si="24"/>
        <v>138.99</v>
      </c>
      <c r="H346" s="31">
        <f t="shared" si="24"/>
        <v>166.39</v>
      </c>
      <c r="I346" s="31">
        <f t="shared" si="23"/>
        <v>305.38</v>
      </c>
      <c r="J346" s="152">
        <f t="shared" si="20"/>
        <v>0.4551378610256075</v>
      </c>
      <c r="K346" s="15">
        <f>8-1-1</f>
        <v>6</v>
      </c>
      <c r="L346" s="15">
        <f>5+1+1</f>
        <v>7</v>
      </c>
      <c r="M346" s="15">
        <f t="shared" si="21"/>
        <v>13</v>
      </c>
      <c r="N346" s="7">
        <v>0</v>
      </c>
      <c r="O346" s="7">
        <v>0</v>
      </c>
      <c r="P346" s="16">
        <f t="shared" si="22"/>
        <v>0</v>
      </c>
    </row>
    <row r="347" spans="1:16" ht="12.75">
      <c r="A347" s="21">
        <v>99</v>
      </c>
      <c r="B347" s="4" t="s">
        <v>347</v>
      </c>
      <c r="C347" s="127">
        <f>279.64-39.01-15.18-23.65-39.01</f>
        <v>162.79</v>
      </c>
      <c r="D347" s="7">
        <f>186.63+39.01+15.18+62.66</f>
        <v>303.48</v>
      </c>
      <c r="E347" s="7">
        <v>0</v>
      </c>
      <c r="F347" s="7">
        <v>0</v>
      </c>
      <c r="G347" s="31">
        <f t="shared" si="24"/>
        <v>162.79</v>
      </c>
      <c r="H347" s="31">
        <f t="shared" si="24"/>
        <v>303.48</v>
      </c>
      <c r="I347" s="31">
        <f t="shared" si="23"/>
        <v>466.27</v>
      </c>
      <c r="J347" s="152">
        <f t="shared" si="20"/>
        <v>0.3491324768910717</v>
      </c>
      <c r="K347" s="15">
        <f>11-1-1-1-1</f>
        <v>7</v>
      </c>
      <c r="L347" s="15">
        <f>7+1+1-1+1+1</f>
        <v>10</v>
      </c>
      <c r="M347" s="15">
        <f t="shared" si="21"/>
        <v>17</v>
      </c>
      <c r="N347" s="7">
        <v>0</v>
      </c>
      <c r="O347" s="7">
        <v>0</v>
      </c>
      <c r="P347" s="16">
        <f t="shared" si="22"/>
        <v>0</v>
      </c>
    </row>
    <row r="348" spans="1:16" ht="13.5" thickBot="1">
      <c r="A348" s="21">
        <v>100</v>
      </c>
      <c r="B348" s="4" t="s">
        <v>348</v>
      </c>
      <c r="C348" s="127">
        <f>223.47-38.57</f>
        <v>184.9</v>
      </c>
      <c r="D348" s="7">
        <f>178+38.57</f>
        <v>216.57</v>
      </c>
      <c r="E348" s="7">
        <v>0</v>
      </c>
      <c r="F348" s="7">
        <v>0</v>
      </c>
      <c r="G348" s="31">
        <f t="shared" si="24"/>
        <v>184.9</v>
      </c>
      <c r="H348" s="31">
        <f t="shared" si="24"/>
        <v>216.57</v>
      </c>
      <c r="I348" s="31">
        <f t="shared" si="23"/>
        <v>401.47</v>
      </c>
      <c r="J348" s="152">
        <f t="shared" si="20"/>
        <v>0.4605574513662291</v>
      </c>
      <c r="K348" s="15">
        <f>7-1</f>
        <v>6</v>
      </c>
      <c r="L348" s="15">
        <f>6+1</f>
        <v>7</v>
      </c>
      <c r="M348" s="15">
        <f t="shared" si="21"/>
        <v>13</v>
      </c>
      <c r="N348" s="7">
        <v>0</v>
      </c>
      <c r="O348" s="7">
        <v>0</v>
      </c>
      <c r="P348" s="16">
        <f t="shared" si="22"/>
        <v>0</v>
      </c>
    </row>
    <row r="349" spans="1:16" ht="12.75">
      <c r="A349" s="42">
        <v>101</v>
      </c>
      <c r="B349" s="4" t="s">
        <v>349</v>
      </c>
      <c r="C349" s="127">
        <f>605.3-227.5-28.6-74.1</f>
        <v>275.0999999999999</v>
      </c>
      <c r="D349" s="7">
        <f>581.1+227.5+28.6+74.1</f>
        <v>911.3000000000001</v>
      </c>
      <c r="E349" s="7">
        <v>0</v>
      </c>
      <c r="F349" s="7">
        <v>0</v>
      </c>
      <c r="G349" s="31">
        <f t="shared" si="24"/>
        <v>275.0999999999999</v>
      </c>
      <c r="H349" s="31">
        <f t="shared" si="24"/>
        <v>911.3000000000001</v>
      </c>
      <c r="I349" s="31">
        <f t="shared" si="23"/>
        <v>1186.4</v>
      </c>
      <c r="J349" s="152">
        <f>G349/I349</f>
        <v>0.23187795010114623</v>
      </c>
      <c r="K349" s="15">
        <f>15-5-1-1-1</f>
        <v>7</v>
      </c>
      <c r="L349" s="15">
        <f>15+5+1+1+1</f>
        <v>23</v>
      </c>
      <c r="M349" s="15">
        <f t="shared" si="21"/>
        <v>30</v>
      </c>
      <c r="N349" s="7">
        <v>0</v>
      </c>
      <c r="O349" s="7">
        <v>0</v>
      </c>
      <c r="P349" s="16">
        <f t="shared" si="22"/>
        <v>0</v>
      </c>
    </row>
    <row r="350" spans="1:16" ht="12.75">
      <c r="A350" s="21">
        <v>102</v>
      </c>
      <c r="B350" s="154" t="s">
        <v>350</v>
      </c>
      <c r="C350" s="130">
        <f>453-280.2-172.8</f>
        <v>0</v>
      </c>
      <c r="D350" s="130">
        <f>766.4+280.2+172.8</f>
        <v>1219.3999999999999</v>
      </c>
      <c r="E350" s="130">
        <v>0</v>
      </c>
      <c r="F350" s="130">
        <v>0</v>
      </c>
      <c r="G350" s="132">
        <f t="shared" si="24"/>
        <v>0</v>
      </c>
      <c r="H350" s="132">
        <f t="shared" si="24"/>
        <v>1219.3999999999999</v>
      </c>
      <c r="I350" s="132">
        <f t="shared" si="23"/>
        <v>1219.3999999999999</v>
      </c>
      <c r="J350" s="155">
        <f t="shared" si="20"/>
        <v>0</v>
      </c>
      <c r="K350" s="131">
        <f>10-6-4</f>
        <v>0</v>
      </c>
      <c r="L350" s="131">
        <f>17+6+4</f>
        <v>27</v>
      </c>
      <c r="M350" s="131">
        <f t="shared" si="21"/>
        <v>27</v>
      </c>
      <c r="N350" s="130">
        <v>0</v>
      </c>
      <c r="O350" s="130">
        <v>0</v>
      </c>
      <c r="P350" s="156">
        <f t="shared" si="22"/>
        <v>0</v>
      </c>
    </row>
    <row r="351" spans="1:16" ht="12.75">
      <c r="A351" s="21">
        <v>103</v>
      </c>
      <c r="B351" s="4" t="s">
        <v>351</v>
      </c>
      <c r="C351" s="127">
        <f>221.05-47.7-38.25</f>
        <v>135.10000000000002</v>
      </c>
      <c r="D351" s="7">
        <f>995.4+47.7+38.25</f>
        <v>1081.35</v>
      </c>
      <c r="E351" s="7">
        <v>0</v>
      </c>
      <c r="F351" s="7">
        <v>0</v>
      </c>
      <c r="G351" s="31">
        <f t="shared" si="24"/>
        <v>135.10000000000002</v>
      </c>
      <c r="H351" s="31">
        <f t="shared" si="24"/>
        <v>1081.35</v>
      </c>
      <c r="I351" s="31">
        <f t="shared" si="23"/>
        <v>1216.4499999999998</v>
      </c>
      <c r="J351" s="152">
        <f t="shared" si="20"/>
        <v>0.11106087385424805</v>
      </c>
      <c r="K351" s="15">
        <f>5-1-1</f>
        <v>3</v>
      </c>
      <c r="L351" s="15">
        <f>22+1+1</f>
        <v>24</v>
      </c>
      <c r="M351" s="15">
        <f t="shared" si="21"/>
        <v>27</v>
      </c>
      <c r="N351" s="7">
        <v>0</v>
      </c>
      <c r="O351" s="7">
        <v>0</v>
      </c>
      <c r="P351" s="16">
        <f t="shared" si="22"/>
        <v>0</v>
      </c>
    </row>
    <row r="352" spans="1:16" ht="13.5" thickBot="1">
      <c r="A352" s="21">
        <v>104</v>
      </c>
      <c r="B352" s="4" t="s">
        <v>352</v>
      </c>
      <c r="C352" s="127">
        <f>101.18-17</f>
        <v>84.18</v>
      </c>
      <c r="D352" s="7">
        <f>42.5+17</f>
        <v>59.5</v>
      </c>
      <c r="E352" s="7">
        <v>0</v>
      </c>
      <c r="F352" s="7">
        <v>0</v>
      </c>
      <c r="G352" s="31">
        <f t="shared" si="24"/>
        <v>84.18</v>
      </c>
      <c r="H352" s="31">
        <f t="shared" si="24"/>
        <v>59.5</v>
      </c>
      <c r="I352" s="31">
        <f t="shared" si="23"/>
        <v>143.68</v>
      </c>
      <c r="J352" s="152">
        <f t="shared" si="20"/>
        <v>0.5858853006681515</v>
      </c>
      <c r="K352" s="15">
        <f>3-1</f>
        <v>2</v>
      </c>
      <c r="L352" s="15">
        <f>1+1</f>
        <v>2</v>
      </c>
      <c r="M352" s="15">
        <f t="shared" si="21"/>
        <v>4</v>
      </c>
      <c r="N352" s="7">
        <v>0</v>
      </c>
      <c r="O352" s="7">
        <v>0</v>
      </c>
      <c r="P352" s="16">
        <f t="shared" si="22"/>
        <v>0</v>
      </c>
    </row>
    <row r="353" spans="1:16" ht="12.75">
      <c r="A353" s="42">
        <v>105</v>
      </c>
      <c r="B353" s="4" t="s">
        <v>353</v>
      </c>
      <c r="C353" s="127">
        <v>118.82</v>
      </c>
      <c r="D353" s="7">
        <v>112.96</v>
      </c>
      <c r="E353" s="7">
        <v>0</v>
      </c>
      <c r="F353" s="7">
        <v>0</v>
      </c>
      <c r="G353" s="31">
        <f t="shared" si="24"/>
        <v>118.82</v>
      </c>
      <c r="H353" s="31">
        <f t="shared" si="24"/>
        <v>112.96</v>
      </c>
      <c r="I353" s="31">
        <f t="shared" si="23"/>
        <v>231.77999999999997</v>
      </c>
      <c r="J353" s="152">
        <f t="shared" si="20"/>
        <v>0.5126412977823799</v>
      </c>
      <c r="K353" s="15">
        <v>3</v>
      </c>
      <c r="L353" s="15">
        <v>3</v>
      </c>
      <c r="M353" s="15">
        <f t="shared" si="21"/>
        <v>6</v>
      </c>
      <c r="N353" s="7">
        <v>0</v>
      </c>
      <c r="O353" s="7">
        <v>0</v>
      </c>
      <c r="P353" s="16">
        <f t="shared" si="22"/>
        <v>0</v>
      </c>
    </row>
    <row r="354" spans="1:16" ht="12.75">
      <c r="A354" s="21">
        <v>106</v>
      </c>
      <c r="B354" s="4" t="s">
        <v>354</v>
      </c>
      <c r="C354" s="127">
        <f>366.88-24-16.9</f>
        <v>325.98</v>
      </c>
      <c r="D354" s="7">
        <f>121.55+24+16.9</f>
        <v>162.45000000000002</v>
      </c>
      <c r="E354" s="7">
        <v>0</v>
      </c>
      <c r="F354" s="7">
        <v>0</v>
      </c>
      <c r="G354" s="31">
        <f t="shared" si="24"/>
        <v>325.98</v>
      </c>
      <c r="H354" s="31">
        <f t="shared" si="24"/>
        <v>162.45000000000002</v>
      </c>
      <c r="I354" s="31">
        <f t="shared" si="23"/>
        <v>488.43000000000006</v>
      </c>
      <c r="J354" s="152">
        <f t="shared" si="20"/>
        <v>0.6674037221300902</v>
      </c>
      <c r="K354" s="15">
        <f>11-1-1</f>
        <v>9</v>
      </c>
      <c r="L354" s="15">
        <f>3+1+1-1</f>
        <v>4</v>
      </c>
      <c r="M354" s="15">
        <f t="shared" si="21"/>
        <v>13</v>
      </c>
      <c r="N354" s="7">
        <v>0</v>
      </c>
      <c r="O354" s="7">
        <v>0</v>
      </c>
      <c r="P354" s="16">
        <f t="shared" si="22"/>
        <v>0</v>
      </c>
    </row>
    <row r="355" spans="1:16" ht="12.75">
      <c r="A355" s="21">
        <v>107</v>
      </c>
      <c r="B355" s="4" t="s">
        <v>355</v>
      </c>
      <c r="C355" s="127">
        <f>120.65+5.07-57.49</f>
        <v>68.22999999999999</v>
      </c>
      <c r="D355" s="7">
        <f>140.28+57.49</f>
        <v>197.77</v>
      </c>
      <c r="E355" s="7">
        <v>0</v>
      </c>
      <c r="F355" s="7">
        <v>0</v>
      </c>
      <c r="G355" s="31">
        <f t="shared" si="24"/>
        <v>68.22999999999999</v>
      </c>
      <c r="H355" s="31">
        <f t="shared" si="24"/>
        <v>197.77</v>
      </c>
      <c r="I355" s="31">
        <f t="shared" si="23"/>
        <v>266</v>
      </c>
      <c r="J355" s="152">
        <f aca="true" t="shared" si="25" ref="J355:J370">G355/I355</f>
        <v>0.2565037593984962</v>
      </c>
      <c r="K355" s="15">
        <f>3-1</f>
        <v>2</v>
      </c>
      <c r="L355" s="15">
        <f>4+1</f>
        <v>5</v>
      </c>
      <c r="M355" s="15">
        <f t="shared" si="21"/>
        <v>7</v>
      </c>
      <c r="N355" s="7">
        <v>0</v>
      </c>
      <c r="O355" s="7">
        <v>0</v>
      </c>
      <c r="P355" s="16">
        <f t="shared" si="22"/>
        <v>0</v>
      </c>
    </row>
    <row r="356" spans="1:16" ht="13.5" thickBot="1">
      <c r="A356" s="21">
        <v>108</v>
      </c>
      <c r="B356" s="4" t="s">
        <v>356</v>
      </c>
      <c r="C356" s="127">
        <f>739.55-224.2-48-46.6-37.85-48-0.07</f>
        <v>334.82999999999987</v>
      </c>
      <c r="D356" s="7">
        <f>432.85+224.2+48+46.6+37.85+48</f>
        <v>837.5</v>
      </c>
      <c r="E356" s="7">
        <v>0</v>
      </c>
      <c r="F356" s="7">
        <v>0</v>
      </c>
      <c r="G356" s="31">
        <f t="shared" si="24"/>
        <v>334.82999999999987</v>
      </c>
      <c r="H356" s="31">
        <f t="shared" si="24"/>
        <v>837.5</v>
      </c>
      <c r="I356" s="31">
        <f t="shared" si="23"/>
        <v>1172.33</v>
      </c>
      <c r="J356" s="152">
        <f t="shared" si="25"/>
        <v>0.2856107068828742</v>
      </c>
      <c r="K356" s="15">
        <f>17-5-1-1-1-1</f>
        <v>8</v>
      </c>
      <c r="L356" s="15">
        <f>10+5+1+1+1+1</f>
        <v>19</v>
      </c>
      <c r="M356" s="15">
        <f t="shared" si="21"/>
        <v>27</v>
      </c>
      <c r="N356" s="7">
        <v>0</v>
      </c>
      <c r="O356" s="7">
        <v>0</v>
      </c>
      <c r="P356" s="16">
        <f t="shared" si="22"/>
        <v>0</v>
      </c>
    </row>
    <row r="357" spans="1:16" ht="12.75">
      <c r="A357" s="42">
        <v>109</v>
      </c>
      <c r="B357" s="4" t="s">
        <v>357</v>
      </c>
      <c r="C357" s="127">
        <f>704.99-32.75-249.19</f>
        <v>423.05</v>
      </c>
      <c r="D357" s="7">
        <f>477.24+32.75-0.05-0.42+249.19</f>
        <v>758.71</v>
      </c>
      <c r="E357" s="7">
        <v>0</v>
      </c>
      <c r="F357" s="7">
        <v>0</v>
      </c>
      <c r="G357" s="31">
        <f t="shared" si="24"/>
        <v>423.05</v>
      </c>
      <c r="H357" s="31">
        <f t="shared" si="24"/>
        <v>758.71</v>
      </c>
      <c r="I357" s="31">
        <f t="shared" si="23"/>
        <v>1181.76</v>
      </c>
      <c r="J357" s="152">
        <f t="shared" si="25"/>
        <v>0.3579830083942594</v>
      </c>
      <c r="K357" s="15">
        <f>15-1-5</f>
        <v>9</v>
      </c>
      <c r="L357" s="15">
        <f>11+1+5</f>
        <v>17</v>
      </c>
      <c r="M357" s="15">
        <f t="shared" si="21"/>
        <v>26</v>
      </c>
      <c r="N357" s="7">
        <v>0</v>
      </c>
      <c r="O357" s="7">
        <v>0</v>
      </c>
      <c r="P357" s="16">
        <f t="shared" si="22"/>
        <v>0</v>
      </c>
    </row>
    <row r="358" spans="1:16" ht="12.75">
      <c r="A358" s="21">
        <v>110</v>
      </c>
      <c r="B358" s="4" t="s">
        <v>358</v>
      </c>
      <c r="C358" s="127">
        <f>386.33-50.53-36.3-47.37-36.8-48.75</f>
        <v>166.57999999999993</v>
      </c>
      <c r="D358" s="7">
        <f>796.52+50.53+36.3+47.37+36.8+48.75</f>
        <v>1016.2699999999999</v>
      </c>
      <c r="E358" s="7">
        <v>0</v>
      </c>
      <c r="F358" s="7">
        <v>0</v>
      </c>
      <c r="G358" s="31">
        <f t="shared" si="24"/>
        <v>166.57999999999993</v>
      </c>
      <c r="H358" s="31">
        <f t="shared" si="24"/>
        <v>1016.2699999999999</v>
      </c>
      <c r="I358" s="31">
        <f t="shared" si="23"/>
        <v>1182.85</v>
      </c>
      <c r="J358" s="152">
        <f t="shared" si="25"/>
        <v>0.14082935283425618</v>
      </c>
      <c r="K358" s="15">
        <f>19-10-1-1-1-1-1</f>
        <v>4</v>
      </c>
      <c r="L358" s="15">
        <f>7+10+1+1+1+1+1</f>
        <v>22</v>
      </c>
      <c r="M358" s="15">
        <f t="shared" si="21"/>
        <v>26</v>
      </c>
      <c r="N358" s="7">
        <v>0</v>
      </c>
      <c r="O358" s="7">
        <v>0</v>
      </c>
      <c r="P358" s="16">
        <f t="shared" si="22"/>
        <v>0</v>
      </c>
    </row>
    <row r="359" spans="1:16" ht="12.75">
      <c r="A359" s="21">
        <v>111</v>
      </c>
      <c r="B359" s="4" t="s">
        <v>359</v>
      </c>
      <c r="C359" s="127">
        <v>135.44</v>
      </c>
      <c r="D359" s="7">
        <v>49.35</v>
      </c>
      <c r="E359" s="7">
        <v>0</v>
      </c>
      <c r="F359" s="7">
        <v>0</v>
      </c>
      <c r="G359" s="31">
        <f t="shared" si="24"/>
        <v>135.44</v>
      </c>
      <c r="H359" s="31">
        <f t="shared" si="24"/>
        <v>49.35</v>
      </c>
      <c r="I359" s="31">
        <f t="shared" si="23"/>
        <v>184.79</v>
      </c>
      <c r="J359" s="152">
        <f t="shared" si="25"/>
        <v>0.7329400941609394</v>
      </c>
      <c r="K359" s="15">
        <v>5</v>
      </c>
      <c r="L359" s="15">
        <v>1</v>
      </c>
      <c r="M359" s="15">
        <f t="shared" si="21"/>
        <v>6</v>
      </c>
      <c r="N359" s="7">
        <v>0</v>
      </c>
      <c r="O359" s="7">
        <v>0</v>
      </c>
      <c r="P359" s="16">
        <f t="shared" si="22"/>
        <v>0</v>
      </c>
    </row>
    <row r="360" spans="1:16" ht="13.5" thickBot="1">
      <c r="A360" s="21">
        <v>112</v>
      </c>
      <c r="B360" s="4" t="s">
        <v>360</v>
      </c>
      <c r="C360" s="127">
        <f>344.95-42-24.22-22.89</f>
        <v>255.84000000000003</v>
      </c>
      <c r="D360" s="7">
        <f>134.25+42+24.22+22.89</f>
        <v>223.36</v>
      </c>
      <c r="E360" s="7">
        <v>0</v>
      </c>
      <c r="F360" s="7">
        <v>0</v>
      </c>
      <c r="G360" s="31">
        <f t="shared" si="24"/>
        <v>255.84000000000003</v>
      </c>
      <c r="H360" s="31">
        <f t="shared" si="24"/>
        <v>223.36</v>
      </c>
      <c r="I360" s="31">
        <f t="shared" si="23"/>
        <v>479.20000000000005</v>
      </c>
      <c r="J360" s="152">
        <f t="shared" si="25"/>
        <v>0.5338898163606011</v>
      </c>
      <c r="K360" s="15">
        <f>15-1-1-1-1</f>
        <v>11</v>
      </c>
      <c r="L360" s="15">
        <f>4+1+1</f>
        <v>6</v>
      </c>
      <c r="M360" s="15">
        <f t="shared" si="21"/>
        <v>17</v>
      </c>
      <c r="N360" s="7">
        <v>0</v>
      </c>
      <c r="O360" s="7">
        <v>0</v>
      </c>
      <c r="P360" s="16">
        <f t="shared" si="22"/>
        <v>0</v>
      </c>
    </row>
    <row r="361" spans="1:16" ht="12.75">
      <c r="A361" s="42">
        <v>113</v>
      </c>
      <c r="B361" s="4" t="s">
        <v>361</v>
      </c>
      <c r="C361" s="127">
        <f>894.43-36.39-45.26-45.26-44.91-45.25-44.91-44.91+44.91</f>
        <v>632.45</v>
      </c>
      <c r="D361" s="7">
        <f>1003.61+36.39+45.26+45.26+44.91+45.25+44.91</f>
        <v>1265.5900000000001</v>
      </c>
      <c r="E361" s="7">
        <v>0</v>
      </c>
      <c r="F361" s="7">
        <v>0</v>
      </c>
      <c r="G361" s="31">
        <f t="shared" si="24"/>
        <v>632.45</v>
      </c>
      <c r="H361" s="31">
        <f t="shared" si="24"/>
        <v>1265.5900000000001</v>
      </c>
      <c r="I361" s="31">
        <f t="shared" si="23"/>
        <v>1898.0400000000002</v>
      </c>
      <c r="J361" s="152">
        <f t="shared" si="25"/>
        <v>0.3332121556974563</v>
      </c>
      <c r="K361" s="15">
        <f>22-1-1-1-2-1-1</f>
        <v>15</v>
      </c>
      <c r="L361" s="15">
        <f>24+1+1+2+1+1</f>
        <v>30</v>
      </c>
      <c r="M361" s="15">
        <f t="shared" si="21"/>
        <v>45</v>
      </c>
      <c r="N361" s="7">
        <v>0</v>
      </c>
      <c r="O361" s="7">
        <v>0</v>
      </c>
      <c r="P361" s="16">
        <f t="shared" si="22"/>
        <v>0</v>
      </c>
    </row>
    <row r="362" spans="1:16" ht="12.75">
      <c r="A362" s="21">
        <v>114</v>
      </c>
      <c r="B362" s="4" t="s">
        <v>362</v>
      </c>
      <c r="C362" s="127">
        <f>668.49-171.12-44.91-36.39-44.91</f>
        <v>371.1600000000001</v>
      </c>
      <c r="D362" s="7">
        <f>1227.58+171.12+81.3+44.91</f>
        <v>1524.9099999999999</v>
      </c>
      <c r="E362" s="7">
        <v>0</v>
      </c>
      <c r="F362" s="7">
        <v>0</v>
      </c>
      <c r="G362" s="31">
        <f t="shared" si="24"/>
        <v>371.1600000000001</v>
      </c>
      <c r="H362" s="31">
        <f t="shared" si="24"/>
        <v>1524.9099999999999</v>
      </c>
      <c r="I362" s="31">
        <f t="shared" si="23"/>
        <v>1896.07</v>
      </c>
      <c r="J362" s="152">
        <f t="shared" si="25"/>
        <v>0.1957522665302442</v>
      </c>
      <c r="K362" s="15">
        <f>16-4-1-1+1+1-2-1</f>
        <v>9</v>
      </c>
      <c r="L362" s="15">
        <f>29+4+1+1-1-1+2+1</f>
        <v>36</v>
      </c>
      <c r="M362" s="15">
        <f t="shared" si="21"/>
        <v>45</v>
      </c>
      <c r="N362" s="7">
        <v>0</v>
      </c>
      <c r="O362" s="7">
        <v>0</v>
      </c>
      <c r="P362" s="16">
        <f t="shared" si="22"/>
        <v>0</v>
      </c>
    </row>
    <row r="363" spans="1:16" ht="12.75">
      <c r="A363" s="21">
        <v>115</v>
      </c>
      <c r="B363" s="4" t="s">
        <v>363</v>
      </c>
      <c r="C363" s="127">
        <f>172.55-34.79</f>
        <v>137.76000000000002</v>
      </c>
      <c r="D363" s="7">
        <f>238.21+34.79</f>
        <v>273</v>
      </c>
      <c r="E363" s="7">
        <v>0</v>
      </c>
      <c r="F363" s="7">
        <v>0</v>
      </c>
      <c r="G363" s="31">
        <f t="shared" si="24"/>
        <v>137.76000000000002</v>
      </c>
      <c r="H363" s="31">
        <f t="shared" si="24"/>
        <v>273</v>
      </c>
      <c r="I363" s="31">
        <f t="shared" si="23"/>
        <v>410.76</v>
      </c>
      <c r="J363" s="152">
        <f t="shared" si="25"/>
        <v>0.3353783231083845</v>
      </c>
      <c r="K363" s="15">
        <f>6-1</f>
        <v>5</v>
      </c>
      <c r="L363" s="15">
        <f>6+1</f>
        <v>7</v>
      </c>
      <c r="M363" s="15">
        <f t="shared" si="21"/>
        <v>12</v>
      </c>
      <c r="N363" s="7">
        <v>0</v>
      </c>
      <c r="O363" s="7">
        <v>0</v>
      </c>
      <c r="P363" s="16">
        <f t="shared" si="22"/>
        <v>0</v>
      </c>
    </row>
    <row r="364" spans="1:16" ht="13.5" thickBot="1">
      <c r="A364" s="21">
        <v>116</v>
      </c>
      <c r="B364" s="3" t="s">
        <v>364</v>
      </c>
      <c r="C364" s="127">
        <f>269.02-23-16.4-22.8</f>
        <v>206.81999999999996</v>
      </c>
      <c r="D364" s="7">
        <f>47.1+23+16.4+22.8</f>
        <v>109.3</v>
      </c>
      <c r="E364" s="7">
        <v>0</v>
      </c>
      <c r="F364" s="7">
        <v>0</v>
      </c>
      <c r="G364" s="31">
        <f t="shared" si="24"/>
        <v>206.81999999999996</v>
      </c>
      <c r="H364" s="31">
        <f t="shared" si="24"/>
        <v>109.3</v>
      </c>
      <c r="I364" s="31">
        <f t="shared" si="23"/>
        <v>316.11999999999995</v>
      </c>
      <c r="J364" s="152">
        <f t="shared" si="25"/>
        <v>0.6542452233329116</v>
      </c>
      <c r="K364" s="15">
        <f>13-1-1-1</f>
        <v>10</v>
      </c>
      <c r="L364" s="15">
        <f>2+1+1+1</f>
        <v>5</v>
      </c>
      <c r="M364" s="15">
        <f t="shared" si="21"/>
        <v>15</v>
      </c>
      <c r="N364" s="7">
        <v>0</v>
      </c>
      <c r="O364" s="7">
        <v>0</v>
      </c>
      <c r="P364" s="16">
        <f t="shared" si="22"/>
        <v>0</v>
      </c>
    </row>
    <row r="365" spans="1:16" ht="12.75">
      <c r="A365" s="42">
        <v>117</v>
      </c>
      <c r="B365" s="4" t="s">
        <v>365</v>
      </c>
      <c r="C365" s="127">
        <f>518.84-44.29-59.05-120.26-44.29</f>
        <v>250.95000000000002</v>
      </c>
      <c r="D365" s="7">
        <f>1125.77+44.29+59.05+120.26+44.29</f>
        <v>1393.6599999999999</v>
      </c>
      <c r="E365" s="7">
        <v>0</v>
      </c>
      <c r="F365" s="7">
        <v>0</v>
      </c>
      <c r="G365" s="31">
        <f t="shared" si="24"/>
        <v>250.95000000000002</v>
      </c>
      <c r="H365" s="31">
        <f t="shared" si="24"/>
        <v>1393.6599999999999</v>
      </c>
      <c r="I365" s="31">
        <f t="shared" si="23"/>
        <v>1644.61</v>
      </c>
      <c r="J365" s="152">
        <f t="shared" si="25"/>
        <v>0.15258936769203643</v>
      </c>
      <c r="K365" s="15">
        <f>8-1</f>
        <v>7</v>
      </c>
      <c r="L365" s="15">
        <f>27+1+1+1+1+1+1</f>
        <v>33</v>
      </c>
      <c r="M365" s="15">
        <f t="shared" si="21"/>
        <v>40</v>
      </c>
      <c r="N365" s="7">
        <v>0</v>
      </c>
      <c r="O365" s="7">
        <v>0</v>
      </c>
      <c r="P365" s="16">
        <f t="shared" si="22"/>
        <v>0</v>
      </c>
    </row>
    <row r="366" spans="1:16" ht="12.75">
      <c r="A366" s="21">
        <v>118</v>
      </c>
      <c r="B366" s="158" t="s">
        <v>366</v>
      </c>
      <c r="C366" s="159">
        <f>263.49-231.49-32</f>
        <v>0</v>
      </c>
      <c r="D366" s="159">
        <f>1186+231.49+32</f>
        <v>1449.49</v>
      </c>
      <c r="E366" s="159">
        <v>0</v>
      </c>
      <c r="F366" s="159">
        <v>0</v>
      </c>
      <c r="G366" s="160">
        <f t="shared" si="24"/>
        <v>0</v>
      </c>
      <c r="H366" s="160">
        <f t="shared" si="24"/>
        <v>1449.49</v>
      </c>
      <c r="I366" s="160">
        <f t="shared" si="23"/>
        <v>1449.49</v>
      </c>
      <c r="J366" s="161">
        <f t="shared" si="25"/>
        <v>0</v>
      </c>
      <c r="K366" s="162">
        <f>7-6-1</f>
        <v>0</v>
      </c>
      <c r="L366" s="162">
        <f>33+6+1</f>
        <v>40</v>
      </c>
      <c r="M366" s="162">
        <f t="shared" si="21"/>
        <v>40</v>
      </c>
      <c r="N366" s="159">
        <v>0</v>
      </c>
      <c r="O366" s="159">
        <v>0</v>
      </c>
      <c r="P366" s="163">
        <f t="shared" si="22"/>
        <v>0</v>
      </c>
    </row>
    <row r="367" spans="1:16" ht="12.75">
      <c r="A367" s="21">
        <v>119</v>
      </c>
      <c r="B367" s="4" t="s">
        <v>367</v>
      </c>
      <c r="C367" s="127">
        <v>217.09</v>
      </c>
      <c r="D367" s="7">
        <v>169.4</v>
      </c>
      <c r="E367" s="7">
        <v>0</v>
      </c>
      <c r="F367" s="7">
        <v>0</v>
      </c>
      <c r="G367" s="31">
        <f t="shared" si="24"/>
        <v>217.09</v>
      </c>
      <c r="H367" s="31">
        <f t="shared" si="24"/>
        <v>169.4</v>
      </c>
      <c r="I367" s="31">
        <f t="shared" si="23"/>
        <v>386.49</v>
      </c>
      <c r="J367" s="152">
        <f t="shared" si="25"/>
        <v>0.5616962922714689</v>
      </c>
      <c r="K367" s="15">
        <v>4</v>
      </c>
      <c r="L367" s="15">
        <v>4</v>
      </c>
      <c r="M367" s="15">
        <f t="shared" si="21"/>
        <v>8</v>
      </c>
      <c r="N367" s="7">
        <v>0</v>
      </c>
      <c r="O367" s="7">
        <v>0</v>
      </c>
      <c r="P367" s="16">
        <f t="shared" si="22"/>
        <v>0</v>
      </c>
    </row>
    <row r="368" spans="1:16" ht="13.5" thickBot="1">
      <c r="A368" s="21">
        <v>120</v>
      </c>
      <c r="B368" s="4" t="s">
        <v>368</v>
      </c>
      <c r="C368" s="127">
        <v>164.67</v>
      </c>
      <c r="D368" s="7">
        <v>102.97</v>
      </c>
      <c r="E368" s="7">
        <v>0</v>
      </c>
      <c r="F368" s="7">
        <v>0</v>
      </c>
      <c r="G368" s="31">
        <f t="shared" si="24"/>
        <v>164.67</v>
      </c>
      <c r="H368" s="31">
        <f t="shared" si="24"/>
        <v>102.97</v>
      </c>
      <c r="I368" s="31">
        <f t="shared" si="23"/>
        <v>267.64</v>
      </c>
      <c r="J368" s="152">
        <f t="shared" si="25"/>
        <v>0.6152667762666268</v>
      </c>
      <c r="K368" s="15">
        <v>5</v>
      </c>
      <c r="L368" s="15">
        <v>3</v>
      </c>
      <c r="M368" s="15">
        <f t="shared" si="21"/>
        <v>8</v>
      </c>
      <c r="N368" s="7">
        <v>0</v>
      </c>
      <c r="O368" s="7">
        <v>0</v>
      </c>
      <c r="P368" s="16">
        <f t="shared" si="22"/>
        <v>0</v>
      </c>
    </row>
    <row r="369" spans="1:16" ht="12.75">
      <c r="A369" s="42">
        <v>121</v>
      </c>
      <c r="B369" s="4" t="s">
        <v>369</v>
      </c>
      <c r="C369" s="127">
        <v>183.25</v>
      </c>
      <c r="D369" s="7">
        <v>115.6</v>
      </c>
      <c r="E369" s="7">
        <v>0</v>
      </c>
      <c r="F369" s="7">
        <v>0</v>
      </c>
      <c r="G369" s="31">
        <f t="shared" si="24"/>
        <v>183.25</v>
      </c>
      <c r="H369" s="31">
        <f t="shared" si="24"/>
        <v>115.6</v>
      </c>
      <c r="I369" s="31">
        <f t="shared" si="23"/>
        <v>298.85</v>
      </c>
      <c r="J369" s="152">
        <f t="shared" si="25"/>
        <v>0.6131838715074451</v>
      </c>
      <c r="K369" s="15">
        <v>5</v>
      </c>
      <c r="L369" s="15">
        <v>3</v>
      </c>
      <c r="M369" s="15">
        <f t="shared" si="21"/>
        <v>8</v>
      </c>
      <c r="N369" s="7">
        <v>0</v>
      </c>
      <c r="O369" s="7">
        <v>0</v>
      </c>
      <c r="P369" s="16">
        <f t="shared" si="22"/>
        <v>0</v>
      </c>
    </row>
    <row r="370" spans="1:16" ht="13.5" thickBot="1">
      <c r="A370" s="21">
        <v>122</v>
      </c>
      <c r="B370" s="139" t="s">
        <v>370</v>
      </c>
      <c r="C370" s="165">
        <v>164.37</v>
      </c>
      <c r="D370" s="140">
        <v>116</v>
      </c>
      <c r="E370" s="140">
        <v>0</v>
      </c>
      <c r="F370" s="140">
        <v>0</v>
      </c>
      <c r="G370" s="141">
        <f t="shared" si="24"/>
        <v>164.37</v>
      </c>
      <c r="H370" s="141">
        <f t="shared" si="24"/>
        <v>116</v>
      </c>
      <c r="I370" s="141">
        <f t="shared" si="23"/>
        <v>280.37</v>
      </c>
      <c r="J370" s="166">
        <f t="shared" si="25"/>
        <v>0.5862610122338339</v>
      </c>
      <c r="K370" s="17">
        <v>5</v>
      </c>
      <c r="L370" s="17">
        <v>3</v>
      </c>
      <c r="M370" s="17">
        <f t="shared" si="21"/>
        <v>8</v>
      </c>
      <c r="N370" s="140">
        <v>0</v>
      </c>
      <c r="O370" s="140">
        <v>0</v>
      </c>
      <c r="P370" s="29">
        <f t="shared" si="22"/>
        <v>0</v>
      </c>
    </row>
    <row r="371" spans="1:16" ht="13.5" thickBot="1">
      <c r="A371" s="173" t="s">
        <v>118</v>
      </c>
      <c r="B371" s="216"/>
      <c r="C371" s="167">
        <f aca="true" t="shared" si="26" ref="C371:I371">SUM(C249:C370)</f>
        <v>22686.719999999994</v>
      </c>
      <c r="D371" s="59">
        <f t="shared" si="26"/>
        <v>52684.4</v>
      </c>
      <c r="E371" s="59">
        <f t="shared" si="26"/>
        <v>1053.9900000000002</v>
      </c>
      <c r="F371" s="59">
        <f t="shared" si="26"/>
        <v>1459.67</v>
      </c>
      <c r="G371" s="168">
        <f t="shared" si="26"/>
        <v>23740.709999999992</v>
      </c>
      <c r="H371" s="169">
        <f t="shared" si="26"/>
        <v>54075.969999999994</v>
      </c>
      <c r="I371" s="169">
        <f t="shared" si="26"/>
        <v>74244.84</v>
      </c>
      <c r="J371" s="168"/>
      <c r="K371" s="168">
        <f aca="true" t="shared" si="27" ref="K371:P371">SUM(K249:K370)</f>
        <v>682</v>
      </c>
      <c r="L371" s="168">
        <f t="shared" si="27"/>
        <v>1259</v>
      </c>
      <c r="M371" s="168">
        <f t="shared" si="27"/>
        <v>1941</v>
      </c>
      <c r="N371" s="168">
        <f t="shared" si="27"/>
        <v>14</v>
      </c>
      <c r="O371" s="168">
        <f t="shared" si="27"/>
        <v>31</v>
      </c>
      <c r="P371" s="170">
        <f t="shared" si="27"/>
        <v>45</v>
      </c>
    </row>
  </sheetData>
  <sheetProtection/>
  <mergeCells count="62">
    <mergeCell ref="G1:I1"/>
    <mergeCell ref="J247:J248"/>
    <mergeCell ref="K247:L247"/>
    <mergeCell ref="M247:M248"/>
    <mergeCell ref="N247:O247"/>
    <mergeCell ref="P247:P248"/>
    <mergeCell ref="I247:I248"/>
    <mergeCell ref="I180:K181"/>
    <mergeCell ref="G128:H128"/>
    <mergeCell ref="I128:I129"/>
    <mergeCell ref="A371:B371"/>
    <mergeCell ref="K195:K196"/>
    <mergeCell ref="L195:M195"/>
    <mergeCell ref="N195:N196"/>
    <mergeCell ref="A247:A248"/>
    <mergeCell ref="B247:B248"/>
    <mergeCell ref="C247:D247"/>
    <mergeCell ref="E247:F247"/>
    <mergeCell ref="G247:G248"/>
    <mergeCell ref="H247:H248"/>
    <mergeCell ref="A191:B191"/>
    <mergeCell ref="I191:K191"/>
    <mergeCell ref="A194:N194"/>
    <mergeCell ref="A195:A196"/>
    <mergeCell ref="B195:B196"/>
    <mergeCell ref="C195:D195"/>
    <mergeCell ref="E195:F195"/>
    <mergeCell ref="G195:G196"/>
    <mergeCell ref="H195:I195"/>
    <mergeCell ref="A162:A163"/>
    <mergeCell ref="B162:B163"/>
    <mergeCell ref="C162:D162"/>
    <mergeCell ref="E162:E163"/>
    <mergeCell ref="F162:G162"/>
    <mergeCell ref="H162:H163"/>
    <mergeCell ref="F140:F141"/>
    <mergeCell ref="F6:F7"/>
    <mergeCell ref="E128:E129"/>
    <mergeCell ref="E140:E141"/>
    <mergeCell ref="F128:F129"/>
    <mergeCell ref="C140:D140"/>
    <mergeCell ref="E6:E7"/>
    <mergeCell ref="A122:B122"/>
    <mergeCell ref="A140:A141"/>
    <mergeCell ref="B140:B141"/>
    <mergeCell ref="A3:I3"/>
    <mergeCell ref="A5:I5"/>
    <mergeCell ref="A4:I4"/>
    <mergeCell ref="A128:A129"/>
    <mergeCell ref="B128:B129"/>
    <mergeCell ref="B6:B7"/>
    <mergeCell ref="I6:I7"/>
    <mergeCell ref="A6:A7"/>
    <mergeCell ref="A136:B136"/>
    <mergeCell ref="A139:G139"/>
    <mergeCell ref="A160:H160"/>
    <mergeCell ref="A161:H161"/>
    <mergeCell ref="C6:D6"/>
    <mergeCell ref="G6:H6"/>
    <mergeCell ref="C128:D128"/>
    <mergeCell ref="G140:G141"/>
    <mergeCell ref="H140:H141"/>
  </mergeCells>
  <printOptions/>
  <pageMargins left="0.75" right="0.75" top="1" bottom="1" header="0.5" footer="0.5"/>
  <pageSetup fitToHeight="0" fitToWidth="1" horizontalDpi="200" verticalDpi="200" orientation="landscape" paperSize="9" scale="76" r:id="rId1"/>
  <rowBreaks count="6" manualBreakCount="6">
    <brk id="44" max="15" man="1"/>
    <brk id="91" max="15" man="1"/>
    <brk id="158" max="15" man="1"/>
    <brk id="191" max="15" man="1"/>
    <brk id="237" max="15" man="1"/>
    <brk id="28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chyła</dc:creator>
  <cp:keywords/>
  <dc:description/>
  <cp:lastModifiedBy>Agnieszka Słomińska-Zielińska</cp:lastModifiedBy>
  <cp:lastPrinted>2022-11-10T14:23:11Z</cp:lastPrinted>
  <dcterms:created xsi:type="dcterms:W3CDTF">1998-06-28T18:06:18Z</dcterms:created>
  <dcterms:modified xsi:type="dcterms:W3CDTF">2022-11-21T10:42:39Z</dcterms:modified>
  <cp:category/>
  <cp:version/>
  <cp:contentType/>
  <cp:contentStatus/>
</cp:coreProperties>
</file>